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l Salvador" sheetId="1" r:id="rId4"/>
  </sheets>
  <definedNames>
    <definedName hidden="1" localSheetId="0" name="Z_AFC984FD_6C16_406A_88DF_95DF34BD9DA4_.wvu.FilterData">'El Salvador'!$B$5:$R$433</definedName>
  </definedNames>
  <calcPr/>
  <customWorkbookViews>
    <customWorkbookView activeSheetId="0" maximized="1" windowHeight="0" windowWidth="0" guid="{AFC984FD-6C16-406A-88DF-95DF34BD9DA4}" name="Filter 1"/>
  </customWorkbookViews>
</workbook>
</file>

<file path=xl/sharedStrings.xml><?xml version="1.0" encoding="utf-8"?>
<sst xmlns="http://schemas.openxmlformats.org/spreadsheetml/2006/main" count="1802" uniqueCount="761">
  <si>
    <t>La Hipotecaria, S.A. de C.V</t>
  </si>
  <si>
    <r>
      <rPr>
        <rFont val="Montserrat"/>
        <b/>
        <color theme="1"/>
        <sz val="12.0"/>
      </rPr>
      <t xml:space="preserve">Recovery Analysis - Mortgages El Salvador / </t>
    </r>
    <r>
      <rPr>
        <rFont val="Montserrat"/>
        <b/>
        <color rgb="FF0000FF"/>
        <sz val="12.0"/>
      </rPr>
      <t>Análisis de Recuperación - Hipotecas El Salvador</t>
    </r>
  </si>
  <si>
    <t>Última Actualización: OCTUBRE 2025</t>
  </si>
  <si>
    <r>
      <rPr>
        <rFont val="Arial"/>
        <b/>
        <color rgb="FF000000"/>
        <sz val="10.0"/>
      </rPr>
      <t xml:space="preserve">Loan ID 
</t>
    </r>
    <r>
      <rPr>
        <rFont val="Arial"/>
        <b/>
        <color rgb="FF0000FF"/>
        <sz val="10.0"/>
      </rPr>
      <t>Número de Préstamo</t>
    </r>
  </si>
  <si>
    <t>Saldo Original</t>
  </si>
  <si>
    <r>
      <rPr>
        <rFont val="Arial"/>
        <b/>
        <color rgb="FF000000"/>
        <sz val="10.0"/>
      </rPr>
      <t xml:space="preserve">Loan Balance upon Repossesion  
</t>
    </r>
    <r>
      <rPr>
        <rFont val="Arial"/>
        <b/>
        <color rgb="FF0000FF"/>
        <sz val="10.0"/>
      </rPr>
      <t>Saldo del préstamo al momento de Reposeer</t>
    </r>
  </si>
  <si>
    <r>
      <rPr>
        <rFont val="Arial"/>
        <b/>
        <color rgb="FF000000"/>
        <sz val="10.0"/>
      </rPr>
      <t xml:space="preserve">Repossesion Method 
</t>
    </r>
    <r>
      <rPr>
        <rFont val="Arial"/>
        <b/>
        <color rgb="FF0000FF"/>
        <sz val="10.0"/>
      </rPr>
      <t>Método de Reposesión</t>
    </r>
  </si>
  <si>
    <r>
      <rPr>
        <rFont val="Arial"/>
        <b/>
        <color rgb="FF000000"/>
        <sz val="10.0"/>
      </rPr>
      <t xml:space="preserve">Month of Repossesion  
</t>
    </r>
    <r>
      <rPr>
        <rFont val="Arial"/>
        <b/>
        <color rgb="FF0000FF"/>
        <sz val="10.0"/>
      </rPr>
      <t>Mes de Reposesión</t>
    </r>
  </si>
  <si>
    <r>
      <rPr>
        <rFont val="Arial"/>
        <b/>
        <color rgb="FF000000"/>
        <sz val="10.0"/>
      </rPr>
      <t xml:space="preserve">Current Status  
</t>
    </r>
    <r>
      <rPr>
        <rFont val="Arial"/>
        <b/>
        <color rgb="FF0000FF"/>
        <sz val="10.0"/>
      </rPr>
      <t>Estatus Actual</t>
    </r>
  </si>
  <si>
    <r>
      <rPr>
        <rFont val="Arial"/>
        <b/>
        <color rgb="FF000000"/>
        <sz val="10.0"/>
      </rPr>
      <t xml:space="preserve">Month of Recovery  
</t>
    </r>
    <r>
      <rPr>
        <rFont val="Arial"/>
        <b/>
        <color rgb="FF0000FF"/>
        <sz val="10.0"/>
      </rPr>
      <t>Mes de Recuperación</t>
    </r>
  </si>
  <si>
    <r>
      <rPr>
        <rFont val="Arial"/>
        <b/>
        <color rgb="FF000000"/>
        <sz val="10.0"/>
      </rPr>
      <t xml:space="preserve">Months to Recover  
</t>
    </r>
    <r>
      <rPr>
        <rFont val="Arial"/>
        <b/>
        <color rgb="FF0000FF"/>
        <sz val="10.0"/>
      </rPr>
      <t>Meses para Recuperar</t>
    </r>
  </si>
  <si>
    <r>
      <rPr>
        <rFont val="Arial"/>
        <b/>
        <color rgb="FF000000"/>
        <sz val="10.0"/>
      </rPr>
      <t xml:space="preserve">New Borrower Loan Number  
</t>
    </r>
    <r>
      <rPr>
        <rFont val="Arial"/>
        <b/>
        <color rgb="FF0000FF"/>
        <sz val="10.0"/>
      </rPr>
      <t>Número de Préstamo del Nuevo Cliente</t>
    </r>
  </si>
  <si>
    <r>
      <rPr>
        <rFont val="Arial"/>
        <b/>
        <color rgb="FF000000"/>
        <sz val="10.0"/>
      </rPr>
      <t xml:space="preserve">Proceeds from Sale  
</t>
    </r>
    <r>
      <rPr>
        <rFont val="Arial"/>
        <b/>
        <color rgb="FF0000FF"/>
        <sz val="10.0"/>
      </rPr>
      <t>Monto Recuperado de Venta</t>
    </r>
  </si>
  <si>
    <r>
      <rPr>
        <rFont val="Arial"/>
        <b/>
        <color rgb="FF000000"/>
        <sz val="10.0"/>
      </rPr>
      <t xml:space="preserve">Accrued interest and insurance costs until date of loan payoff, net.    
</t>
    </r>
    <r>
      <rPr>
        <rFont val="Arial"/>
        <b/>
        <color rgb="FF0000FF"/>
        <sz val="10.0"/>
      </rPr>
      <t>Monto de interés y seguro hasta fecha de liquidación (Nota B)</t>
    </r>
  </si>
  <si>
    <r>
      <rPr>
        <rFont val="Arial"/>
        <b/>
        <color rgb="FF000000"/>
        <sz val="10.0"/>
      </rPr>
      <t xml:space="preserve">Legal Costs   
</t>
    </r>
    <r>
      <rPr>
        <rFont val="Arial"/>
        <b/>
        <color rgb="FF0000FF"/>
        <sz val="10.0"/>
      </rPr>
      <t>Gastos Legales</t>
    </r>
  </si>
  <si>
    <r>
      <rPr>
        <rFont val="Arial"/>
        <b/>
        <color rgb="FF000000"/>
        <sz val="10.0"/>
      </rPr>
      <t xml:space="preserve">Repairs and Other Costs   
</t>
    </r>
    <r>
      <rPr>
        <rFont val="Arial"/>
        <b/>
        <color rgb="FF0000FF"/>
        <sz val="10.0"/>
      </rPr>
      <t>Gastos de Reparación</t>
    </r>
  </si>
  <si>
    <r>
      <rPr>
        <rFont val="Arial"/>
        <b/>
        <color rgb="FF000000"/>
        <sz val="10.0"/>
      </rPr>
      <t xml:space="preserve">Loss of Capital Only  
</t>
    </r>
    <r>
      <rPr>
        <rFont val="Arial"/>
        <b/>
        <color rgb="FF0000FF"/>
        <sz val="10.0"/>
      </rPr>
      <t>Pérdida en Capital Solamente</t>
    </r>
  </si>
  <si>
    <r>
      <rPr>
        <rFont val="Arial"/>
        <b/>
        <color rgb="FF000000"/>
        <sz val="10.0"/>
      </rPr>
      <t xml:space="preserve">Total Loss  
</t>
    </r>
    <r>
      <rPr>
        <rFont val="Arial"/>
        <b/>
        <color rgb="FF0000FF"/>
        <sz val="10.0"/>
      </rPr>
      <t>Pérdida Total</t>
    </r>
  </si>
  <si>
    <r>
      <rPr>
        <rFont val="Arial"/>
        <b/>
        <color rgb="FF000000"/>
        <sz val="10.0"/>
      </rPr>
      <t xml:space="preserve">% Loss  
</t>
    </r>
    <r>
      <rPr>
        <rFont val="Arial"/>
        <b/>
        <color rgb="FF0000FF"/>
        <sz val="10.0"/>
      </rPr>
      <t>% de Pérdida</t>
    </r>
  </si>
  <si>
    <r>
      <rPr>
        <rFont val="Arial"/>
        <b/>
        <color rgb="FF000000"/>
        <sz val="10.0"/>
      </rPr>
      <t xml:space="preserve">% Recovery  
</t>
    </r>
    <r>
      <rPr>
        <rFont val="Arial"/>
        <b/>
        <color rgb="FF0000FF"/>
        <sz val="10.0"/>
      </rPr>
      <t>%  Recuperación</t>
    </r>
  </si>
  <si>
    <t>Total de Seguros acumulados en APPX (I)</t>
  </si>
  <si>
    <t>Total de Intereses acumulados en APPX</t>
  </si>
  <si>
    <t>Total de Columna Nota B</t>
  </si>
  <si>
    <t>Tasa de Interés del cliente</t>
  </si>
  <si>
    <t>Intereses acumulados por 180 días (II)</t>
  </si>
  <si>
    <t>Intereses a ser utilizados en el cálculo (Real vs 180 días)</t>
  </si>
  <si>
    <t>Total para columna Nota B (I + II)</t>
  </si>
  <si>
    <t>¿Fue Legal?</t>
  </si>
  <si>
    <t>¿Está el Caso Resuelto?</t>
  </si>
  <si>
    <t>¿Fue el Caso Legal Resuelto?</t>
  </si>
  <si>
    <t>Gastos de Reparaciones y Gastos Legales de Casos Resuletos</t>
  </si>
  <si>
    <t>Monto original de Casos Legales Resueltos</t>
  </si>
  <si>
    <t>Meses de Recuperación de Casos Resueltos</t>
  </si>
  <si>
    <t>Peso de este caso de todos los casos Resueltos</t>
  </si>
  <si>
    <t>Cálculo para Promedio Ponderada</t>
  </si>
  <si>
    <t>¿Fue Dación?</t>
  </si>
  <si>
    <t>¿Fue el Caso de Dación Resuelto?</t>
  </si>
  <si>
    <t># Total</t>
  </si>
  <si>
    <t>01-A-0247</t>
  </si>
  <si>
    <t>Deed in Lieu</t>
  </si>
  <si>
    <t>Sold</t>
  </si>
  <si>
    <t>01-A-0889</t>
  </si>
  <si>
    <t>01-A-0861</t>
  </si>
  <si>
    <t>01-A-1104</t>
  </si>
  <si>
    <t>01-A-0437</t>
  </si>
  <si>
    <t>01-A-1457</t>
  </si>
  <si>
    <t>01-A-0881</t>
  </si>
  <si>
    <t>01-A-2756</t>
  </si>
  <si>
    <t>01-A-0096</t>
  </si>
  <si>
    <t>Legal Foreclosure</t>
  </si>
  <si>
    <t>01-A-3119</t>
  </si>
  <si>
    <t>01-B-0185</t>
  </si>
  <si>
    <t>01-A-2405</t>
  </si>
  <si>
    <t>01-A-0787</t>
  </si>
  <si>
    <t>01-A-2283</t>
  </si>
  <si>
    <t>01-A-0579</t>
  </si>
  <si>
    <t>01-A-1985</t>
  </si>
  <si>
    <t>01-A-0843</t>
  </si>
  <si>
    <t>01-A-2340</t>
  </si>
  <si>
    <t>01-B-0087</t>
  </si>
  <si>
    <t>01-A-2580</t>
  </si>
  <si>
    <t>01-B-0139</t>
  </si>
  <si>
    <t>01-A-2065</t>
  </si>
  <si>
    <t>01-B-0140</t>
  </si>
  <si>
    <t>01-A-2290</t>
  </si>
  <si>
    <t>01-A-0777</t>
  </si>
  <si>
    <t>External Fin.</t>
  </si>
  <si>
    <t>01-A-1105</t>
  </si>
  <si>
    <t>01-A-2406</t>
  </si>
  <si>
    <t>01-A-0808</t>
  </si>
  <si>
    <t>01-B-1341/1342</t>
  </si>
  <si>
    <t>01-A-0198</t>
  </si>
  <si>
    <t>01-B-0249</t>
  </si>
  <si>
    <t>01-A-0810</t>
  </si>
  <si>
    <t>01-B-3007/3008</t>
  </si>
  <si>
    <t>01-A-0853</t>
  </si>
  <si>
    <t>01-B-1191</t>
  </si>
  <si>
    <t>01-A-2563</t>
  </si>
  <si>
    <t>01-B-1371</t>
  </si>
  <si>
    <t>01-A-2630</t>
  </si>
  <si>
    <t>01-A-0340</t>
  </si>
  <si>
    <t>01-A-1192</t>
  </si>
  <si>
    <t>01-A-2981</t>
  </si>
  <si>
    <t>01-A-1160</t>
  </si>
  <si>
    <t>01-A-2626</t>
  </si>
  <si>
    <t>01-A-1029</t>
  </si>
  <si>
    <t>01-A-4304</t>
  </si>
  <si>
    <t>01-A-1688</t>
  </si>
  <si>
    <t>01-A-2385</t>
  </si>
  <si>
    <t>01-A-1170</t>
  </si>
  <si>
    <t>01-B-213</t>
  </si>
  <si>
    <t>01-A-2748</t>
  </si>
  <si>
    <t>01-A-1888</t>
  </si>
  <si>
    <t>01-A-2870</t>
  </si>
  <si>
    <t>01-A-0611</t>
  </si>
  <si>
    <t>01-A-3135</t>
  </si>
  <si>
    <t>01-A-1243</t>
  </si>
  <si>
    <t>01-B-2121</t>
  </si>
  <si>
    <t>01-A-2941</t>
  </si>
  <si>
    <t>01-A-0780</t>
  </si>
  <si>
    <t>01-A-1548</t>
  </si>
  <si>
    <t>01-A-3026</t>
  </si>
  <si>
    <t>01-B-2245</t>
  </si>
  <si>
    <t>01-B-3639/3640</t>
  </si>
  <si>
    <t>01-B-2037</t>
  </si>
  <si>
    <t>01-A-3024</t>
  </si>
  <si>
    <t>01-B-1425</t>
  </si>
  <si>
    <t>01-A-3079</t>
  </si>
  <si>
    <t>01-B-2827</t>
  </si>
  <si>
    <t>01-A-3102</t>
  </si>
  <si>
    <t>01-A-1726</t>
  </si>
  <si>
    <t>01-A-3148</t>
  </si>
  <si>
    <t>01-B-0509</t>
  </si>
  <si>
    <t>01-A-2991</t>
  </si>
  <si>
    <t>01-B-1873</t>
  </si>
  <si>
    <t>01-A-3036</t>
  </si>
  <si>
    <t>01-B-0947</t>
  </si>
  <si>
    <t>01-A-3023</t>
  </si>
  <si>
    <t>01-A-1778</t>
  </si>
  <si>
    <t>01-A-3028</t>
  </si>
  <si>
    <t>01-A-0931</t>
  </si>
  <si>
    <t>01-B-1367</t>
  </si>
  <si>
    <t>01-E-0052</t>
  </si>
  <si>
    <t>01-A-1733</t>
  </si>
  <si>
    <t>01-A-3030</t>
  </si>
  <si>
    <t>01-A-1118</t>
  </si>
  <si>
    <t>01-E-0012</t>
  </si>
  <si>
    <t>01-A-1022</t>
  </si>
  <si>
    <t>01-E-16</t>
  </si>
  <si>
    <t>N/A</t>
  </si>
  <si>
    <t>01-A-1769</t>
  </si>
  <si>
    <t>01-A-3718</t>
  </si>
  <si>
    <t>01-A-1656</t>
  </si>
  <si>
    <t>01-B-0557</t>
  </si>
  <si>
    <t>01-A-3812</t>
  </si>
  <si>
    <t>01-A-1590</t>
  </si>
  <si>
    <t>01-A-3083</t>
  </si>
  <si>
    <t>01-A-0957</t>
  </si>
  <si>
    <t>01-A-3055</t>
  </si>
  <si>
    <t>01-B-0975</t>
  </si>
  <si>
    <t>01-A-3049</t>
  </si>
  <si>
    <t>01-B-2469</t>
  </si>
  <si>
    <t>01-A-3046</t>
  </si>
  <si>
    <t>01-A-1931</t>
  </si>
  <si>
    <t>01-A-3060</t>
  </si>
  <si>
    <t>01-A-0274</t>
  </si>
  <si>
    <t>01-A-3063</t>
  </si>
  <si>
    <t>01-A-1486</t>
  </si>
  <si>
    <t>01-A-3080</t>
  </si>
  <si>
    <t>01-B-1023</t>
  </si>
  <si>
    <t>01-E-0003</t>
  </si>
  <si>
    <t>01-A-0125</t>
  </si>
  <si>
    <t>01-E-0004</t>
  </si>
  <si>
    <t>01-B-1131</t>
  </si>
  <si>
    <t>01-A-3132</t>
  </si>
  <si>
    <t>01-B-1099</t>
  </si>
  <si>
    <t>REO</t>
  </si>
  <si>
    <t>01-B-0425</t>
  </si>
  <si>
    <t>01-E-0019</t>
  </si>
  <si>
    <t>01-A-1666</t>
  </si>
  <si>
    <t>01-B-2617</t>
  </si>
  <si>
    <t>01-A-4013</t>
  </si>
  <si>
    <t>01-A-1610</t>
  </si>
  <si>
    <t>01-A-1167</t>
  </si>
  <si>
    <t>01-A-3037</t>
  </si>
  <si>
    <t>01-A-0597</t>
  </si>
  <si>
    <t>01-A-3040</t>
  </si>
  <si>
    <t>01-A-1145</t>
  </si>
  <si>
    <t>01-A-3057</t>
  </si>
  <si>
    <t>01-A-1884</t>
  </si>
  <si>
    <t>01-A-3067</t>
  </si>
  <si>
    <t>01-B-0925</t>
  </si>
  <si>
    <t>01-A-3076</t>
  </si>
  <si>
    <t>01-A-1447</t>
  </si>
  <si>
    <t>01-A-3121</t>
  </si>
  <si>
    <t>01-B-0949</t>
  </si>
  <si>
    <t>01-E-9</t>
  </si>
  <si>
    <t>01-A-1704</t>
  </si>
  <si>
    <t>01-A-3183</t>
  </si>
  <si>
    <t>01-A-1373</t>
  </si>
  <si>
    <t>01-B-0103</t>
  </si>
  <si>
    <t>01-A-3310</t>
  </si>
  <si>
    <t>01-A-0701</t>
  </si>
  <si>
    <t>01-A-3077</t>
  </si>
  <si>
    <t>01-B-0573/0574</t>
  </si>
  <si>
    <t>01-B-3635/3636</t>
  </si>
  <si>
    <t>01-A-1621</t>
  </si>
  <si>
    <t>01-A-3098</t>
  </si>
  <si>
    <t>01-B-0341</t>
  </si>
  <si>
    <t>01-A-3115</t>
  </si>
  <si>
    <t>01-A-1423</t>
  </si>
  <si>
    <t>01-A-3229</t>
  </si>
  <si>
    <t>01-B-1973</t>
  </si>
  <si>
    <t>01-A-3798</t>
  </si>
  <si>
    <t>01-B-1883</t>
  </si>
  <si>
    <t>01-A-3131</t>
  </si>
  <si>
    <t>01-A-1510</t>
  </si>
  <si>
    <t>01-A-2317</t>
  </si>
  <si>
    <t>01-B-2309</t>
  </si>
  <si>
    <t>01-A-3127</t>
  </si>
  <si>
    <t>01-A-0382</t>
  </si>
  <si>
    <t>01-A-0927</t>
  </si>
  <si>
    <t>01-A-2489</t>
  </si>
  <si>
    <t>01-A-1856</t>
  </si>
  <si>
    <t>01-A-3133</t>
  </si>
  <si>
    <t>01-B-1911</t>
  </si>
  <si>
    <t>01-A-3125</t>
  </si>
  <si>
    <t>01-B-2505</t>
  </si>
  <si>
    <t>01-A-3144</t>
  </si>
  <si>
    <t>01-B-3261</t>
  </si>
  <si>
    <t>01-B-3487</t>
  </si>
  <si>
    <t>01-B-0525</t>
  </si>
  <si>
    <t>01-A-3162</t>
  </si>
  <si>
    <t>01-B-1343</t>
  </si>
  <si>
    <t>01-A-2904</t>
  </si>
  <si>
    <t>01-B-3293</t>
  </si>
  <si>
    <t>Cash</t>
  </si>
  <si>
    <t>01-B-0207</t>
  </si>
  <si>
    <t>01-A-4031</t>
  </si>
  <si>
    <t>01-B-2785</t>
  </si>
  <si>
    <t>01-B-0151</t>
  </si>
  <si>
    <t>01-A-3235</t>
  </si>
  <si>
    <t>01-A-1932</t>
  </si>
  <si>
    <t>01-A-3226</t>
  </si>
  <si>
    <t>01-A-0923</t>
  </si>
  <si>
    <t>01-A-3182</t>
  </si>
  <si>
    <t>01-A-0834</t>
  </si>
  <si>
    <t>01-E-17</t>
  </si>
  <si>
    <t>01-B-2377</t>
  </si>
  <si>
    <t>01-A-0048</t>
  </si>
  <si>
    <t>01-A-3379</t>
  </si>
  <si>
    <t>01-B-2665</t>
  </si>
  <si>
    <t>Foreclosure</t>
  </si>
  <si>
    <t>01-B-2859</t>
  </si>
  <si>
    <t>01-A-0601</t>
  </si>
  <si>
    <t>01-A-0489</t>
  </si>
  <si>
    <t>01-A-4294</t>
  </si>
  <si>
    <t>01-A-2598</t>
  </si>
  <si>
    <t>01-A-3188</t>
  </si>
  <si>
    <t>01-B-2915</t>
  </si>
  <si>
    <t>01-E-0013</t>
  </si>
  <si>
    <t>01-B-0105</t>
  </si>
  <si>
    <t>01-B-0703</t>
  </si>
  <si>
    <t>01-B-2801</t>
  </si>
  <si>
    <t>01-A-3240</t>
  </si>
  <si>
    <t>01-A-0591</t>
  </si>
  <si>
    <t>01-E-0026</t>
  </si>
  <si>
    <t>01-B-1847</t>
  </si>
  <si>
    <t>01-B-0485</t>
  </si>
  <si>
    <t>01-B-3303</t>
  </si>
  <si>
    <t>01-A-1765</t>
  </si>
  <si>
    <t>01-A-3302</t>
  </si>
  <si>
    <t>01-A-2058</t>
  </si>
  <si>
    <t>01-A-0201</t>
  </si>
  <si>
    <t>01-E-0020</t>
  </si>
  <si>
    <t>01-B-2609</t>
  </si>
  <si>
    <t>01-A-3298</t>
  </si>
  <si>
    <t>01-A-1277</t>
  </si>
  <si>
    <t>01-A-3386</t>
  </si>
  <si>
    <t>01-A-1218</t>
  </si>
  <si>
    <t>01-E-0025</t>
  </si>
  <si>
    <t>01-B-1375</t>
  </si>
  <si>
    <t>01-B-2327</t>
  </si>
  <si>
    <t>01-B-2375</t>
  </si>
  <si>
    <t>01-B-0895</t>
  </si>
  <si>
    <t>01-B-1967</t>
  </si>
  <si>
    <t>01-A-0306</t>
  </si>
  <si>
    <t>01-B-2969</t>
  </si>
  <si>
    <t>01-B-1667</t>
  </si>
  <si>
    <t>01-E-0045</t>
  </si>
  <si>
    <t>01-B-2949</t>
  </si>
  <si>
    <t>01-E-0048</t>
  </si>
  <si>
    <t>01-A-0450</t>
  </si>
  <si>
    <t>01-B-3371</t>
  </si>
  <si>
    <t>01-E-0051</t>
  </si>
  <si>
    <t>01-B-0273</t>
  </si>
  <si>
    <t>01-B-3463</t>
  </si>
  <si>
    <t>01-A-1731</t>
  </si>
  <si>
    <t>01-A-3686</t>
  </si>
  <si>
    <t>01-A-1606</t>
  </si>
  <si>
    <t>01-A-3730</t>
  </si>
  <si>
    <t>01-A-0035</t>
  </si>
  <si>
    <t>01-B-0045</t>
  </si>
  <si>
    <t>01-A-1315</t>
  </si>
  <si>
    <t>01-B-0451</t>
  </si>
  <si>
    <t>01-E-0046</t>
  </si>
  <si>
    <t>01-B-3269</t>
  </si>
  <si>
    <t>01-A-3855</t>
  </si>
  <si>
    <t>01-B-3147</t>
  </si>
  <si>
    <t>01-E-0053</t>
  </si>
  <si>
    <t>01-B-2741</t>
  </si>
  <si>
    <t>01-A-1435</t>
  </si>
  <si>
    <t>01-A-4451</t>
  </si>
  <si>
    <t>01-B-1641</t>
  </si>
  <si>
    <t>01-E-0073</t>
  </si>
  <si>
    <t>01-A-1948</t>
  </si>
  <si>
    <t>01-A-2961</t>
  </si>
  <si>
    <t>01-A-4299</t>
  </si>
  <si>
    <t>01-A-1790</t>
  </si>
  <si>
    <t>01-A-3764</t>
  </si>
  <si>
    <t>01-A-0730</t>
  </si>
  <si>
    <t>01-B-2017</t>
  </si>
  <si>
    <t>01-B-0941</t>
  </si>
  <si>
    <t>01-A-2504</t>
  </si>
  <si>
    <t>01-B-0239</t>
  </si>
  <si>
    <t>01-A-4143</t>
  </si>
  <si>
    <t>01-B-0251</t>
  </si>
  <si>
    <t>01-A-4142</t>
  </si>
  <si>
    <t>01-B-2905</t>
  </si>
  <si>
    <t>01-A-4141</t>
  </si>
  <si>
    <t>01-A-0917</t>
  </si>
  <si>
    <t>01-A-1943</t>
  </si>
  <si>
    <t>01-A-5258</t>
  </si>
  <si>
    <t>01-A-0663</t>
  </si>
  <si>
    <t>01-A-2155</t>
  </si>
  <si>
    <t>01-B-2565</t>
  </si>
  <si>
    <t>01-A-3694</t>
  </si>
  <si>
    <t>01-B-1779</t>
  </si>
  <si>
    <t>01-A-3742</t>
  </si>
  <si>
    <t>01-A-3033</t>
  </si>
  <si>
    <t>01-A-4367</t>
  </si>
  <si>
    <t>01-B-2879</t>
  </si>
  <si>
    <t>01-A-4527</t>
  </si>
  <si>
    <t>01-A-5764</t>
  </si>
  <si>
    <t>01-B-3493</t>
  </si>
  <si>
    <t>01-A-3975</t>
  </si>
  <si>
    <t>01-A-1691</t>
  </si>
  <si>
    <t>01-A-4022</t>
  </si>
  <si>
    <t>01-B-3007</t>
  </si>
  <si>
    <t>01-E-0061</t>
  </si>
  <si>
    <t>01-B-3653</t>
  </si>
  <si>
    <t>01-A-1572</t>
  </si>
  <si>
    <t>01-E-0044</t>
  </si>
  <si>
    <t>01-B-3423</t>
  </si>
  <si>
    <t>01-A-1368</t>
  </si>
  <si>
    <t>01-E-0084</t>
  </si>
  <si>
    <t>01-B-1123</t>
  </si>
  <si>
    <t>01-A-1043</t>
  </si>
  <si>
    <t>01-A-3941</t>
  </si>
  <si>
    <t>01-A-1353</t>
  </si>
  <si>
    <t>01-E-0078</t>
  </si>
  <si>
    <t>01-B-2223</t>
  </si>
  <si>
    <t>01-A-5012</t>
  </si>
  <si>
    <t>01-A-2838</t>
  </si>
  <si>
    <t>01-E-0049</t>
  </si>
  <si>
    <t>01-B-2167</t>
  </si>
  <si>
    <t>01-A-4017</t>
  </si>
  <si>
    <t>01-A-0833</t>
  </si>
  <si>
    <t>01-E-0050</t>
  </si>
  <si>
    <t>01-A-0642</t>
  </si>
  <si>
    <t>01-A-4210</t>
  </si>
  <si>
    <t>01-A-1902</t>
  </si>
  <si>
    <t>01-A-3970</t>
  </si>
  <si>
    <t>01-B-0121</t>
  </si>
  <si>
    <t>01-A-4095</t>
  </si>
  <si>
    <t>01-B-2587</t>
  </si>
  <si>
    <t>01-A-4094</t>
  </si>
  <si>
    <t>01-B-1063</t>
  </si>
  <si>
    <t>01-B-2847</t>
  </si>
  <si>
    <t>01-A-4339</t>
  </si>
  <si>
    <t>01-B-1157</t>
  </si>
  <si>
    <t>01-A-4366</t>
  </si>
  <si>
    <t>01-A-1250</t>
  </si>
  <si>
    <t>01-E-0075</t>
  </si>
  <si>
    <t>01-B-2841</t>
  </si>
  <si>
    <t>01-A-2393</t>
  </si>
  <si>
    <t>01-A-4109</t>
  </si>
  <si>
    <t>01-B-3287</t>
  </si>
  <si>
    <t>01-B-3121</t>
  </si>
  <si>
    <t>01-A-4470</t>
  </si>
  <si>
    <t>01-A-1743</t>
  </si>
  <si>
    <t>01-E-0058</t>
  </si>
  <si>
    <t>01-B-1201</t>
  </si>
  <si>
    <t>01-A-4050</t>
  </si>
  <si>
    <t>01-B-1529</t>
  </si>
  <si>
    <t>01-A-3073</t>
  </si>
  <si>
    <t>01-A-4510</t>
  </si>
  <si>
    <t>01-B-1987</t>
  </si>
  <si>
    <t>01-E-0063</t>
  </si>
  <si>
    <t>01-A-1171</t>
  </si>
  <si>
    <t>01-A-4656</t>
  </si>
  <si>
    <t>01-A-1101</t>
  </si>
  <si>
    <t>01-A-4277</t>
  </si>
  <si>
    <t>01-A-1922</t>
  </si>
  <si>
    <t>01-A-4720</t>
  </si>
  <si>
    <t>01-A-2734</t>
  </si>
  <si>
    <t>01-A-4723</t>
  </si>
  <si>
    <t>01-B-2383</t>
  </si>
  <si>
    <t>01-A-4262</t>
  </si>
  <si>
    <t>01-B-0805</t>
  </si>
  <si>
    <t>01-A-0476</t>
  </si>
  <si>
    <t>01-E-0064</t>
  </si>
  <si>
    <t>01-B-0507</t>
  </si>
  <si>
    <t>01-A-1473</t>
  </si>
  <si>
    <t>01-A-4614</t>
  </si>
  <si>
    <t>01-A-1618</t>
  </si>
  <si>
    <t>01-A-4708</t>
  </si>
  <si>
    <t>01-B-1771</t>
  </si>
  <si>
    <t>01-A-4849</t>
  </si>
  <si>
    <t>01-B-2331</t>
  </si>
  <si>
    <t>01-E-62</t>
  </si>
  <si>
    <t>01-B-0405</t>
  </si>
  <si>
    <t>01-A-4711</t>
  </si>
  <si>
    <t>01-B-2767</t>
  </si>
  <si>
    <t>01-A-4449</t>
  </si>
  <si>
    <t>01-B-1027</t>
  </si>
  <si>
    <t>01-A-5804</t>
  </si>
  <si>
    <t>01-B-2115</t>
  </si>
  <si>
    <t>01-A-5661</t>
  </si>
  <si>
    <t>01-A-1500</t>
  </si>
  <si>
    <t>01-A-4898</t>
  </si>
  <si>
    <t>01-B-1313</t>
  </si>
  <si>
    <t>01-E-0069</t>
  </si>
  <si>
    <t>01-A-0632</t>
  </si>
  <si>
    <t>01-E-0080</t>
  </si>
  <si>
    <t>01-B-3203</t>
  </si>
  <si>
    <t>01-B-3545</t>
  </si>
  <si>
    <t>01-E-0079</t>
  </si>
  <si>
    <t>01-B-1651</t>
  </si>
  <si>
    <t>01-E-0070</t>
  </si>
  <si>
    <t>01-A-1421</t>
  </si>
  <si>
    <t>01-A-4747</t>
  </si>
  <si>
    <t>01-A-2633</t>
  </si>
  <si>
    <t>01-A-4862</t>
  </si>
  <si>
    <t>01-A-2661</t>
  </si>
  <si>
    <t>01-A-5102</t>
  </si>
  <si>
    <t>01-B-2913</t>
  </si>
  <si>
    <t>01-E-0071</t>
  </si>
  <si>
    <t>01-A-1415</t>
  </si>
  <si>
    <t>01-B-3441</t>
  </si>
  <si>
    <t>01-E-0072</t>
  </si>
  <si>
    <t>01-B-1759</t>
  </si>
  <si>
    <t>01-A-5018</t>
  </si>
  <si>
    <t>01-B-1377</t>
  </si>
  <si>
    <t>01-E-0074</t>
  </si>
  <si>
    <t>01-A-0896</t>
  </si>
  <si>
    <t>01-A-4764</t>
  </si>
  <si>
    <t>01-A-5240</t>
  </si>
  <si>
    <t>01-B-2581</t>
  </si>
  <si>
    <t>01-E-0076</t>
  </si>
  <si>
    <t>01-B-0047</t>
  </si>
  <si>
    <t>01-A-4846</t>
  </si>
  <si>
    <t>01-B-2297</t>
  </si>
  <si>
    <t>01-A-4900</t>
  </si>
  <si>
    <t>01-A-0523</t>
  </si>
  <si>
    <t>01-A-5014</t>
  </si>
  <si>
    <t>01-B-0235</t>
  </si>
  <si>
    <t>01-A-4833</t>
  </si>
  <si>
    <t>01-B-3579</t>
  </si>
  <si>
    <t>01-E-0090</t>
  </si>
  <si>
    <t>01-B-2457</t>
  </si>
  <si>
    <t>01-E-0077</t>
  </si>
  <si>
    <t>01-B-0855</t>
  </si>
  <si>
    <t>01-A-4930</t>
  </si>
  <si>
    <t>01-A-1732</t>
  </si>
  <si>
    <t>01-E-0081</t>
  </si>
  <si>
    <t>01-B-2997</t>
  </si>
  <si>
    <t>01-A-4977</t>
  </si>
  <si>
    <t>01-A-1648</t>
  </si>
  <si>
    <t>01-A-5467</t>
  </si>
  <si>
    <t>01-A-0683</t>
  </si>
  <si>
    <t>01-A-4896</t>
  </si>
  <si>
    <t>01-B-3301</t>
  </si>
  <si>
    <t>01-A-4897</t>
  </si>
  <si>
    <t>01-A-1991</t>
  </si>
  <si>
    <t>01-A-4916</t>
  </si>
  <si>
    <t>01-B-1761</t>
  </si>
  <si>
    <t>01-A-4917</t>
  </si>
  <si>
    <t>01-B-1935</t>
  </si>
  <si>
    <t>01-A-5080</t>
  </si>
  <si>
    <t>01-A-2732</t>
  </si>
  <si>
    <t>01-A-4948</t>
  </si>
  <si>
    <t>01-A-1422</t>
  </si>
  <si>
    <t>01-A-5059</t>
  </si>
  <si>
    <t>01-B-1177</t>
  </si>
  <si>
    <t>01-E-0083</t>
  </si>
  <si>
    <t>01-B-3335</t>
  </si>
  <si>
    <t>01-A-5172</t>
  </si>
  <si>
    <t xml:space="preserve">01-B-2483 </t>
  </si>
  <si>
    <t>01-A-5339</t>
  </si>
  <si>
    <t>01-A-1794</t>
  </si>
  <si>
    <t>01-A-4959</t>
  </si>
  <si>
    <t>01-B-2485</t>
  </si>
  <si>
    <t>01-A-5041</t>
  </si>
  <si>
    <t>01-A-2601</t>
  </si>
  <si>
    <t>01-A-5262</t>
  </si>
  <si>
    <t>01-A-1186</t>
  </si>
  <si>
    <t>01-E-0082</t>
  </si>
  <si>
    <t>01-A-3086</t>
  </si>
  <si>
    <t>01-A-5013</t>
  </si>
  <si>
    <t>01-B-2337</t>
  </si>
  <si>
    <t>01-A-5083</t>
  </si>
  <si>
    <t>01-A-2586</t>
  </si>
  <si>
    <t>01-A-5276</t>
  </si>
  <si>
    <t>01-A-1057</t>
  </si>
  <si>
    <t>01-A-5627</t>
  </si>
  <si>
    <t>01-A-2484</t>
  </si>
  <si>
    <t>01-E-0098</t>
  </si>
  <si>
    <t>01-A-1588</t>
  </si>
  <si>
    <t>01-A-5135</t>
  </si>
  <si>
    <t>01-A-1635</t>
  </si>
  <si>
    <t>01-A-5143</t>
  </si>
  <si>
    <t>01-B-3325</t>
  </si>
  <si>
    <t>01-E-85</t>
  </si>
  <si>
    <t>01-A-2103</t>
  </si>
  <si>
    <t>01-E-0087</t>
  </si>
  <si>
    <t>01-B-2313</t>
  </si>
  <si>
    <t>01-E-0089</t>
  </si>
  <si>
    <t>01-B-1001</t>
  </si>
  <si>
    <t>01-A-5255</t>
  </si>
  <si>
    <t>01-B-0571</t>
  </si>
  <si>
    <t>01-A-5237</t>
  </si>
  <si>
    <t>01-A-0816</t>
  </si>
  <si>
    <t>01-A-5306</t>
  </si>
  <si>
    <t>01-A-3200</t>
  </si>
  <si>
    <t>01-A-1424</t>
  </si>
  <si>
    <t>01-A-5312</t>
  </si>
  <si>
    <t>01-B-0605</t>
  </si>
  <si>
    <t>01-A-5535</t>
  </si>
  <si>
    <t>01-B-1003</t>
  </si>
  <si>
    <t>01-A-5540</t>
  </si>
  <si>
    <t>01-A-2387</t>
  </si>
  <si>
    <t>01-A-5350</t>
  </si>
  <si>
    <t>01-B-0479</t>
  </si>
  <si>
    <t>01-A-5478</t>
  </si>
  <si>
    <t>01-B-3037</t>
  </si>
  <si>
    <t>01-A-5402</t>
  </si>
  <si>
    <t>01-A-0643</t>
  </si>
  <si>
    <t>01-A-5424</t>
  </si>
  <si>
    <t>01-B-1613</t>
  </si>
  <si>
    <t>01-A-5415</t>
  </si>
  <si>
    <t>01-A-3284</t>
  </si>
  <si>
    <t>01-E-0093</t>
  </si>
  <si>
    <t>01-A-1490</t>
  </si>
  <si>
    <t>01-A-5498</t>
  </si>
  <si>
    <t>01-B-2823</t>
  </si>
  <si>
    <t>01-A-5542</t>
  </si>
  <si>
    <t>01-B-2067</t>
  </si>
  <si>
    <t>01-A-5878</t>
  </si>
  <si>
    <t>01-A-1647</t>
  </si>
  <si>
    <t>01-A-5522</t>
  </si>
  <si>
    <t>01-A-1707</t>
  </si>
  <si>
    <t>01-A-5639</t>
  </si>
  <si>
    <t>01-B-2069</t>
  </si>
  <si>
    <t>01-A-5697</t>
  </si>
  <si>
    <t>01-A-0444</t>
  </si>
  <si>
    <t>01-A-1199</t>
  </si>
  <si>
    <t>01-A-1224</t>
  </si>
  <si>
    <t>01-A-5946</t>
  </si>
  <si>
    <t>01-B-3677</t>
  </si>
  <si>
    <t>01-A-5974</t>
  </si>
  <si>
    <t>01-B-1649</t>
  </si>
  <si>
    <t>01-A-5634</t>
  </si>
  <si>
    <t>01-A-0185</t>
  </si>
  <si>
    <t>01-B-2817</t>
  </si>
  <si>
    <t>01-A-1581</t>
  </si>
  <si>
    <t>01-A-5862</t>
  </si>
  <si>
    <t xml:space="preserve">01-B-4453 </t>
  </si>
  <si>
    <t>01-A-5801</t>
  </si>
  <si>
    <t>01-E-0024</t>
  </si>
  <si>
    <t>01-B-1885</t>
  </si>
  <si>
    <t>01-B-2625</t>
  </si>
  <si>
    <t>01-A-5985</t>
  </si>
  <si>
    <t>01-A-1273</t>
  </si>
  <si>
    <t>01-B-2645</t>
  </si>
  <si>
    <t>01-A-3454</t>
  </si>
  <si>
    <t>01-A-1758</t>
  </si>
  <si>
    <t>01-A-5914</t>
  </si>
  <si>
    <t>01-A-0608</t>
  </si>
  <si>
    <t>01-A-6296</t>
  </si>
  <si>
    <t>01-A-0804</t>
  </si>
  <si>
    <t>01-A-5966</t>
  </si>
  <si>
    <t>01-A-2239</t>
  </si>
  <si>
    <t>01-A-6077</t>
  </si>
  <si>
    <t>01-B-2863</t>
  </si>
  <si>
    <t>01-E-0100</t>
  </si>
  <si>
    <t>01-B-3329</t>
  </si>
  <si>
    <t>01-A-6267</t>
  </si>
  <si>
    <t>01-B-0685</t>
  </si>
  <si>
    <t>01-E-0101</t>
  </si>
  <si>
    <t>01-B-3247</t>
  </si>
  <si>
    <t>01-B-0311</t>
  </si>
  <si>
    <t>01-A-6170</t>
  </si>
  <si>
    <t>01-B-4101</t>
  </si>
  <si>
    <t>01-B-0881</t>
  </si>
  <si>
    <t>01-B-0797</t>
  </si>
  <si>
    <t>01-A-6182</t>
  </si>
  <si>
    <t>01-A-1740</t>
  </si>
  <si>
    <t>01-B-1629</t>
  </si>
  <si>
    <t>01-A-1017</t>
  </si>
  <si>
    <t>01-A-0599</t>
  </si>
  <si>
    <t>01-B-3153</t>
  </si>
  <si>
    <t>01-A-6265</t>
  </si>
  <si>
    <t>01-B-3513</t>
  </si>
  <si>
    <t>01-A-6319</t>
  </si>
  <si>
    <t>01-A-3962</t>
  </si>
  <si>
    <t>01-A-6494</t>
  </si>
  <si>
    <t>01-A-2420</t>
  </si>
  <si>
    <t>01-B-2145</t>
  </si>
  <si>
    <t>01-A-6401</t>
  </si>
  <si>
    <t>01-A-4571</t>
  </si>
  <si>
    <t>01-B-3151</t>
  </si>
  <si>
    <t>01-A-1874</t>
  </si>
  <si>
    <t>01-A-6430</t>
  </si>
  <si>
    <t>01-A-2224</t>
  </si>
  <si>
    <t>01-A-6498</t>
  </si>
  <si>
    <t>01-A-2473</t>
  </si>
  <si>
    <t>01-B-0819</t>
  </si>
  <si>
    <t>01-A-6532</t>
  </si>
  <si>
    <t>01-A-1739</t>
  </si>
  <si>
    <t>01-B-4491</t>
  </si>
  <si>
    <t>01-B-0227</t>
  </si>
  <si>
    <t>01-B-3387</t>
  </si>
  <si>
    <t>01-A-6782</t>
  </si>
  <si>
    <t>01-B-1083</t>
  </si>
  <si>
    <t>01-A-6542</t>
  </si>
  <si>
    <t>01-A-2684</t>
  </si>
  <si>
    <t>01-B-3139</t>
  </si>
  <si>
    <t>01-A-2350</t>
  </si>
  <si>
    <t>01-A-6641</t>
  </si>
  <si>
    <t>01-A-2743</t>
  </si>
  <si>
    <t>01-A-6765</t>
  </si>
  <si>
    <t>01-A-2893</t>
  </si>
  <si>
    <t>01-A-6870</t>
  </si>
  <si>
    <t>01-A-0628</t>
  </si>
  <si>
    <t>01-B-0765</t>
  </si>
  <si>
    <t>01-A-7009</t>
  </si>
  <si>
    <t>01-A-2950</t>
  </si>
  <si>
    <t>01-A-6783</t>
  </si>
  <si>
    <t>01-A-1324</t>
  </si>
  <si>
    <t>01-B-4577</t>
  </si>
  <si>
    <t>01-A-6727</t>
  </si>
  <si>
    <t>01-A-6743</t>
  </si>
  <si>
    <t>01-A-0378</t>
  </si>
  <si>
    <t>01-E-0106</t>
  </si>
  <si>
    <t>01-A-2250</t>
  </si>
  <si>
    <t>01-A-6848</t>
  </si>
  <si>
    <t>01-A-1375</t>
  </si>
  <si>
    <t>01-A-6763</t>
  </si>
  <si>
    <t>01-A-1846</t>
  </si>
  <si>
    <t>01-A-6812</t>
  </si>
  <si>
    <t>01-A-2652</t>
  </si>
  <si>
    <t>01-A-6799</t>
  </si>
  <si>
    <t>01-A-0741</t>
  </si>
  <si>
    <t>01-A-6803</t>
  </si>
  <si>
    <t>01-A-6811</t>
  </si>
  <si>
    <t>01-A-0484</t>
  </si>
  <si>
    <t>01-A-6801</t>
  </si>
  <si>
    <t>01-A-4806</t>
  </si>
  <si>
    <t>01-A-6857</t>
  </si>
  <si>
    <t>01-A-1595</t>
  </si>
  <si>
    <t>01-A-1808</t>
  </si>
  <si>
    <t>01-A-6931</t>
  </si>
  <si>
    <t>01-A-5179</t>
  </si>
  <si>
    <t>01-A-6904</t>
  </si>
  <si>
    <t>01-A-1725</t>
  </si>
  <si>
    <t>01-A-5950</t>
  </si>
  <si>
    <t>01-B-2475</t>
  </si>
  <si>
    <t>01-A-6890</t>
  </si>
  <si>
    <t>01-A-1953</t>
  </si>
  <si>
    <t>01-A-2738</t>
  </si>
  <si>
    <t>01-A-7000</t>
  </si>
  <si>
    <t>01-A-0391</t>
  </si>
  <si>
    <t>01-A-2965</t>
  </si>
  <si>
    <t>01-A-7102</t>
  </si>
  <si>
    <t>01-A-2520</t>
  </si>
  <si>
    <t>01-A-2212</t>
  </si>
  <si>
    <t>01-A-7073</t>
  </si>
  <si>
    <t>01-B-1837</t>
  </si>
  <si>
    <t>01-A-7089</t>
  </si>
  <si>
    <t>01-A-1184</t>
  </si>
  <si>
    <t>01-A-7136</t>
  </si>
  <si>
    <t>01-A-4297</t>
  </si>
  <si>
    <t>01-A-3552</t>
  </si>
  <si>
    <t>01-A-7147</t>
  </si>
  <si>
    <t>01-B-2461</t>
  </si>
  <si>
    <t>01-A-7275</t>
  </si>
  <si>
    <t>01-B-3445</t>
  </si>
  <si>
    <t>01-A-5476</t>
  </si>
  <si>
    <t>01-B-4465</t>
  </si>
  <si>
    <t>01-A-7199</t>
  </si>
  <si>
    <t>01-B-2939</t>
  </si>
  <si>
    <t>01-A-7373</t>
  </si>
  <si>
    <t>01-A-2675</t>
  </si>
  <si>
    <t>01-A-7287</t>
  </si>
  <si>
    <t>01-B-4939</t>
  </si>
  <si>
    <t>01-A-7249</t>
  </si>
  <si>
    <t>01-B-3865</t>
  </si>
  <si>
    <t>01-A-0623</t>
  </si>
  <si>
    <t>01-A-7265</t>
  </si>
  <si>
    <t>01-B-1127</t>
  </si>
  <si>
    <t>01-A-7546</t>
  </si>
  <si>
    <t>01-A-1234</t>
  </si>
  <si>
    <t>01-A-7309</t>
  </si>
  <si>
    <t>01-A-2372</t>
  </si>
  <si>
    <t>01-A-7319</t>
  </si>
  <si>
    <t>01-B-4467</t>
  </si>
  <si>
    <t>01-A-7326</t>
  </si>
  <si>
    <t>01-B-3081</t>
  </si>
  <si>
    <t>01-A-7389</t>
  </si>
  <si>
    <t>01-A-2053</t>
  </si>
  <si>
    <t>01-B-3239</t>
  </si>
  <si>
    <t>01-A-7500</t>
  </si>
  <si>
    <t>01-A-1078</t>
  </si>
  <si>
    <t>01-A-2332</t>
  </si>
  <si>
    <t>01-B-1617</t>
  </si>
  <si>
    <t>01-A-7465</t>
  </si>
  <si>
    <t>01-B-5653</t>
  </si>
  <si>
    <t>01-A-1445</t>
  </si>
  <si>
    <t>01-A-7528</t>
  </si>
  <si>
    <t>01-B-4727</t>
  </si>
  <si>
    <t>01-A-7633</t>
  </si>
  <si>
    <t>01-B-1429</t>
  </si>
  <si>
    <t>01-A-7818</t>
  </si>
  <si>
    <t>01-A-2830</t>
  </si>
  <si>
    <t>01-A-7591</t>
  </si>
  <si>
    <t>01-B-1915</t>
  </si>
  <si>
    <t>01-A-7264</t>
  </si>
  <si>
    <t>01-A-7775</t>
  </si>
  <si>
    <t>01-A-5358</t>
  </si>
  <si>
    <t>01-B-1571</t>
  </si>
  <si>
    <t>01-B-3237</t>
  </si>
  <si>
    <t>01-A-5298</t>
  </si>
  <si>
    <t>01-A-7769</t>
  </si>
  <si>
    <t>01-B-2589</t>
  </si>
  <si>
    <t>01-A-7752</t>
  </si>
  <si>
    <t>01-B-4971</t>
  </si>
  <si>
    <t>01-A-7817</t>
  </si>
  <si>
    <t>01-A-235</t>
  </si>
  <si>
    <t>01-A-2475</t>
  </si>
  <si>
    <t>01-B-2031</t>
  </si>
  <si>
    <t>01-A-4843</t>
  </si>
  <si>
    <t>01-A-0572</t>
  </si>
  <si>
    <t>01-A-7743</t>
  </si>
  <si>
    <t>01-B-5143</t>
  </si>
  <si>
    <t>01-A-2102</t>
  </si>
  <si>
    <t>01-B-4513</t>
  </si>
  <si>
    <t>01-A-3324</t>
  </si>
  <si>
    <t>01-A-7799</t>
  </si>
  <si>
    <t>01-B-3497</t>
  </si>
  <si>
    <t>01-A-7767</t>
  </si>
  <si>
    <t>01-A-2117</t>
  </si>
  <si>
    <t>01-B-5371</t>
  </si>
  <si>
    <t>01-A-1812</t>
  </si>
  <si>
    <t>Reo</t>
  </si>
  <si>
    <t xml:space="preserve">   Weighted Average</t>
  </si>
  <si>
    <t>$</t>
  </si>
  <si>
    <t>%  /  $</t>
  </si>
  <si>
    <t>% / #</t>
  </si>
  <si>
    <t>Average Months to Recovery*</t>
  </si>
  <si>
    <t>% Loss*</t>
  </si>
  <si>
    <t>% Recovery*</t>
  </si>
  <si>
    <t>Totals</t>
  </si>
  <si>
    <t>Total de Casos</t>
  </si>
  <si>
    <t>Casos Resueltos</t>
  </si>
  <si>
    <t xml:space="preserve">Columnas de trabajo para el cálculo de Seguros e Interes </t>
  </si>
  <si>
    <t xml:space="preserve">  Porcentaje de Casos Resueltos que Son LetalesCasos Resueltos:  </t>
  </si>
  <si>
    <t xml:space="preserve">           Porcentaje de de Daciones en Pago de los Casos Resueltos:  </t>
  </si>
  <si>
    <t xml:space="preserve">Porcentaje de Costos Legales y Reparaciones en Casos Resueltos:  </t>
  </si>
  <si>
    <r>
      <rPr>
        <rFont val="Arial"/>
        <color theme="1"/>
      </rPr>
      <t xml:space="preserve">Legal Foreclosure = </t>
    </r>
    <r>
      <rPr>
        <rFont val="Arial"/>
        <color rgb="FF0000FF"/>
        <sz val="10.0"/>
      </rPr>
      <t>Remate Legal</t>
    </r>
    <r>
      <rPr>
        <rFont val="Arial"/>
        <color theme="1"/>
        <sz val="10.0"/>
      </rPr>
      <t xml:space="preserve">,  Deed in Lieu = </t>
    </r>
    <r>
      <rPr>
        <rFont val="Arial"/>
        <color rgb="FF0000FF"/>
        <sz val="10.0"/>
      </rPr>
      <t>Dación en Pago</t>
    </r>
    <r>
      <rPr>
        <rFont val="Arial"/>
        <color theme="1"/>
        <sz val="10.0"/>
      </rPr>
      <t>, REO = I</t>
    </r>
    <r>
      <rPr>
        <rFont val="Arial"/>
        <color rgb="FF0000FF"/>
        <sz val="10.0"/>
      </rPr>
      <t>nventario de Vivienda Reposeida</t>
    </r>
  </si>
  <si>
    <r>
      <rPr>
        <rFont val="Arial"/>
        <color theme="1"/>
      </rPr>
      <t xml:space="preserve">*Only includes Legal Forclosures that have been closed and does not includes Legal Forclosures in Process.  </t>
    </r>
    <r>
      <rPr>
        <rFont val="Arial"/>
        <color rgb="FF0000FF"/>
        <sz val="10.0"/>
      </rPr>
      <t>Meses Promedios solamente incluye Remates Legales resueltos y no casos en proceso de remate.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</si>
</sst>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_(* #,##0.00_);_(* \(#,##0.00\);_(* &quot;-&quot;??_);_(@_)"/>
    <numFmt numFmtId="165" formatCode="_(* #,##0_);_(* \(#,##0\);_(* &quot;-&quot;??_);_(@_)"/>
    <numFmt numFmtId="166" formatCode="_ * #,##0.00_ ;_ * \-#,##0.00_ ;_ * &quot;-&quot;??_ ;_ @_ "/>
    <numFmt numFmtId="167" formatCode="_ * #,##0_ ;_ * \-#,##0_ ;_ * &quot;-&quot;??_ ;_ @_ "/>
    <numFmt numFmtId="168" formatCode="dd/mm/yy"/>
    <numFmt numFmtId="169" formatCode="[$-409]mmm\-yy"/>
    <numFmt numFmtId="170" formatCode="&quot;$&quot;#,##0.00"/>
    <numFmt numFmtId="171" formatCode="_(* #,##0.0000_);_(* \(#,##0.0000\);_(* &quot;-&quot;??_);_(@_)"/>
  </numFmts>
  <fonts count="20">
    <font>
      <sz val="10.0"/>
      <color rgb="FF000000"/>
      <name val="Arial"/>
      <scheme val="minor"/>
    </font>
    <font>
      <sz val="10.0"/>
      <color theme="1"/>
      <name val="Arial"/>
    </font>
    <font>
      <b/>
      <sz val="12.0"/>
      <color theme="1"/>
      <name val="Montserrat"/>
    </font>
    <font>
      <color theme="1"/>
      <name val="Arial"/>
      <scheme val="minor"/>
    </font>
    <font>
      <color theme="1"/>
      <name val="Arial"/>
    </font>
    <font>
      <b/>
      <color theme="1"/>
      <name val="Arial"/>
    </font>
    <font>
      <b/>
      <sz val="14.0"/>
      <color theme="1"/>
      <name val="Arial"/>
    </font>
    <font>
      <b/>
      <sz val="14.0"/>
      <color rgb="FF800000"/>
      <name val="Arial"/>
    </font>
    <font>
      <b/>
      <sz val="10.0"/>
      <color rgb="FF000000"/>
      <name val="Arial"/>
    </font>
    <font>
      <b/>
      <sz val="10.0"/>
      <color rgb="FF0000FF"/>
      <name val="Arial"/>
    </font>
    <font>
      <sz val="10.0"/>
      <color rgb="FF000000"/>
      <name val="Arial"/>
    </font>
    <font/>
    <font>
      <b/>
      <sz val="10.0"/>
      <color theme="1"/>
      <name val="Arial"/>
    </font>
    <font>
      <sz val="10.0"/>
      <color rgb="FF333300"/>
      <name val="Arial"/>
    </font>
    <font>
      <b/>
      <sz val="10.0"/>
      <color rgb="FF333300"/>
      <name val="Arial"/>
    </font>
    <font>
      <color rgb="FF000000"/>
      <name val="Arial"/>
    </font>
    <font>
      <i/>
      <sz val="10.0"/>
      <color rgb="FF000000"/>
      <name val="Arial"/>
    </font>
    <font>
      <i/>
      <sz val="10.0"/>
      <color theme="1"/>
      <name val="Arial"/>
    </font>
    <font>
      <sz val="10.0"/>
      <color rgb="FF3366FF"/>
      <name val="Arial"/>
    </font>
    <font>
      <sz val="10.0"/>
      <color rgb="FF0000FF"/>
      <name val="Arial"/>
    </font>
  </fonts>
  <fills count="6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E5EBF5"/>
        <bgColor rgb="FFE5EBF5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theme="0"/>
      </patternFill>
    </fill>
  </fills>
  <borders count="53">
    <border/>
    <border>
      <bottom style="thin">
        <color rgb="FF000000"/>
      </bottom>
    </border>
    <border>
      <left style="thin">
        <color rgb="FF000000"/>
      </left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 style="thin">
        <color rgb="FFC0C0C0"/>
      </left>
      <right style="thin">
        <color rgb="FFC0C0C0"/>
      </right>
      <bottom style="thin">
        <color rgb="FFC0C0C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C0C0C0"/>
      </left>
      <right style="thin">
        <color rgb="FFC0C0C0"/>
      </right>
      <top style="thin">
        <color rgb="FFC0C0C0"/>
      </top>
      <bottom/>
    </border>
    <border>
      <left style="thin">
        <color rgb="FF000000"/>
      </left>
      <right style="thin">
        <color rgb="FFBDBDBD"/>
      </right>
      <top style="thin">
        <color rgb="FF000000"/>
      </top>
      <bottom style="thin">
        <color rgb="FFBDBDBD"/>
      </bottom>
    </border>
    <border>
      <left style="thin">
        <color rgb="FFBDBDBD"/>
      </left>
      <right style="thin">
        <color rgb="FFBDBDBD"/>
      </right>
      <top style="thin">
        <color rgb="FF000000"/>
      </top>
      <bottom style="thin">
        <color rgb="FFBDBDBD"/>
      </bottom>
    </border>
    <border>
      <left style="thin">
        <color rgb="FFBDBDBD"/>
      </left>
      <right style="thin">
        <color rgb="FF000000"/>
      </right>
      <top style="thin">
        <color rgb="FF000000"/>
      </top>
      <bottom style="thin">
        <color rgb="FFBDBDBD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BDBDBD"/>
      </right>
      <top style="thin">
        <color rgb="FFBDBDBD"/>
      </top>
      <bottom style="thin">
        <color rgb="FFBDBDBD"/>
      </bottom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</border>
    <border>
      <left style="thin">
        <color rgb="FFBDBDBD"/>
      </left>
      <right style="thin">
        <color rgb="FF000000"/>
      </right>
      <top style="thin">
        <color rgb="FFBDBDBD"/>
      </top>
      <bottom style="thin">
        <color rgb="FFBDBDBD"/>
      </bottom>
    </border>
    <border>
      <left style="thin">
        <color rgb="FFC0C0C0"/>
      </left>
      <right/>
      <top style="thin">
        <color rgb="FFC0C0C0"/>
      </top>
      <bottom style="thin">
        <color rgb="FFC0C0C0"/>
      </bottom>
    </border>
    <border>
      <left/>
      <right style="thin">
        <color rgb="FFC0C0C0"/>
      </right>
      <top style="thin">
        <color rgb="FFC0C0C0"/>
      </top>
      <bottom/>
    </border>
    <border>
      <left style="thin">
        <color rgb="FFC0C0C0"/>
      </left>
      <right style="thin">
        <color rgb="FFC0C0C0"/>
      </right>
      <top/>
      <bottom style="thin">
        <color rgb="FFC0C0C0"/>
      </bottom>
    </border>
    <border>
      <left/>
      <right/>
      <top/>
      <bottom/>
    </border>
    <border>
      <left/>
      <right style="thin">
        <color rgb="FFC0C0C0"/>
      </right>
      <top style="thin">
        <color rgb="FFC0C0C0"/>
      </top>
      <bottom style="thin">
        <color rgb="FFC0C0C0"/>
      </bottom>
    </border>
    <border>
      <left/>
      <right style="thin">
        <color rgb="FFC0C0C0"/>
      </right>
      <top/>
      <bottom style="thin">
        <color rgb="FFC0C0C0"/>
      </bottom>
    </border>
    <border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000000"/>
      </left>
      <right style="thin">
        <color rgb="FFBDBDBD"/>
      </right>
      <top style="thin">
        <color rgb="FFBDBDBD"/>
      </top>
    </border>
    <border>
      <left style="thin">
        <color rgb="FFBDBDBD"/>
      </left>
      <right style="thin">
        <color rgb="FFBDBDBD"/>
      </right>
      <top style="thin">
        <color rgb="FFBDBDBD"/>
      </top>
    </border>
    <border>
      <left style="thin">
        <color rgb="FFC0C0C0"/>
      </left>
      <right style="thin">
        <color rgb="FFC0C0C0"/>
      </right>
      <top style="thin">
        <color rgb="FFC0C0C0"/>
      </top>
    </border>
    <border>
      <left style="thin">
        <color rgb="FFBDBDBD"/>
      </left>
      <right style="thin">
        <color rgb="FF000000"/>
      </right>
      <top style="thin">
        <color rgb="FFBDBDBD"/>
      </top>
    </border>
    <border>
      <left/>
      <top/>
      <bottom/>
    </border>
    <border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right/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8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left" readingOrder="0"/>
    </xf>
    <xf borderId="0" fillId="0" fontId="1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1" numFmtId="0" xfId="0" applyFont="1"/>
    <xf borderId="0" fillId="0" fontId="4" numFmtId="0" xfId="0" applyAlignment="1" applyFont="1">
      <alignment horizontal="center"/>
    </xf>
    <xf borderId="0" fillId="0" fontId="5" numFmtId="0" xfId="0" applyFont="1"/>
    <xf borderId="0" fillId="0" fontId="6" numFmtId="0" xfId="0" applyAlignment="1" applyFont="1">
      <alignment horizontal="left"/>
    </xf>
    <xf borderId="0" fillId="0" fontId="2" numFmtId="0" xfId="0" applyAlignment="1" applyFont="1">
      <alignment horizontal="left"/>
    </xf>
    <xf borderId="0" fillId="0" fontId="7" numFmtId="0" xfId="0" applyAlignment="1" applyFont="1">
      <alignment horizontal="left"/>
    </xf>
    <xf borderId="1" fillId="0" fontId="1" numFmtId="0" xfId="0" applyBorder="1" applyFont="1"/>
    <xf borderId="1" fillId="0" fontId="1" numFmtId="0" xfId="0" applyAlignment="1" applyBorder="1" applyFont="1">
      <alignment horizontal="center"/>
    </xf>
    <xf borderId="2" fillId="2" fontId="1" numFmtId="0" xfId="0" applyAlignment="1" applyBorder="1" applyFill="1" applyFont="1">
      <alignment horizontal="center" vertical="center"/>
    </xf>
    <xf borderId="3" fillId="2" fontId="8" numFmtId="0" xfId="0" applyAlignment="1" applyBorder="1" applyFont="1">
      <alignment horizontal="center" readingOrder="0" shrinkToFit="0" vertical="center" wrapText="1"/>
    </xf>
    <xf borderId="3" fillId="2" fontId="9" numFmtId="0" xfId="0" applyAlignment="1" applyBorder="1" applyFont="1">
      <alignment horizontal="center" shrinkToFit="0" vertical="center" wrapText="1"/>
    </xf>
    <xf borderId="3" fillId="2" fontId="8" numFmtId="0" xfId="0" applyAlignment="1" applyBorder="1" applyFont="1">
      <alignment horizontal="center" shrinkToFit="0" vertical="center" wrapText="1"/>
    </xf>
    <xf borderId="4" fillId="2" fontId="1" numFmtId="0" xfId="0" applyAlignment="1" applyBorder="1" applyFont="1">
      <alignment horizontal="center" vertical="center"/>
    </xf>
    <xf borderId="5" fillId="3" fontId="10" numFmtId="0" xfId="0" applyAlignment="1" applyBorder="1" applyFill="1" applyFont="1">
      <alignment horizontal="center" shrinkToFit="0" vertical="center" wrapText="1"/>
    </xf>
    <xf borderId="5" fillId="3" fontId="10" numFmtId="10" xfId="0" applyAlignment="1" applyBorder="1" applyFont="1" applyNumberFormat="1">
      <alignment horizontal="center" shrinkToFit="0" vertical="center" wrapText="1"/>
    </xf>
    <xf borderId="5" fillId="2" fontId="1" numFmtId="0" xfId="0" applyAlignment="1" applyBorder="1" applyFont="1">
      <alignment horizontal="center" shrinkToFit="0" vertical="center" wrapText="1"/>
    </xf>
    <xf borderId="0" fillId="0" fontId="4" numFmtId="0" xfId="0" applyAlignment="1" applyFont="1">
      <alignment vertical="center"/>
    </xf>
    <xf borderId="6" fillId="2" fontId="8" numFmtId="0" xfId="0" applyAlignment="1" applyBorder="1" applyFont="1">
      <alignment horizontal="center" shrinkToFit="0" vertical="center" wrapText="1"/>
    </xf>
    <xf borderId="7" fillId="0" fontId="11" numFmtId="0" xfId="0" applyBorder="1" applyFont="1"/>
    <xf borderId="8" fillId="0" fontId="11" numFmtId="0" xfId="0" applyBorder="1" applyFont="1"/>
    <xf borderId="9" fillId="2" fontId="1" numFmtId="0" xfId="0" applyAlignment="1" applyBorder="1" applyFont="1">
      <alignment horizontal="center"/>
    </xf>
    <xf borderId="10" fillId="2" fontId="1" numFmtId="0" xfId="0" applyAlignment="1" applyBorder="1" applyFont="1">
      <alignment shrinkToFit="0" wrapText="1"/>
    </xf>
    <xf borderId="11" fillId="2" fontId="1" numFmtId="0" xfId="0" applyAlignment="1" applyBorder="1" applyFont="1">
      <alignment shrinkToFit="0" wrapText="1"/>
    </xf>
    <xf borderId="11" fillId="2" fontId="10" numFmtId="164" xfId="0" applyAlignment="1" applyBorder="1" applyFont="1" applyNumberFormat="1">
      <alignment shrinkToFit="0" wrapText="1"/>
    </xf>
    <xf borderId="11" fillId="2" fontId="10" numFmtId="0" xfId="0" applyAlignment="1" applyBorder="1" applyFont="1">
      <alignment horizontal="right" shrinkToFit="0" wrapText="1"/>
    </xf>
    <xf borderId="11" fillId="2" fontId="10" numFmtId="17" xfId="0" applyAlignment="1" applyBorder="1" applyFont="1" applyNumberFormat="1">
      <alignment horizontal="center" shrinkToFit="0" wrapText="1"/>
    </xf>
    <xf borderId="11" fillId="2" fontId="10" numFmtId="1" xfId="0" applyAlignment="1" applyBorder="1" applyFont="1" applyNumberFormat="1">
      <alignment horizontal="center" shrinkToFit="0" wrapText="1"/>
    </xf>
    <xf borderId="12" fillId="2" fontId="10" numFmtId="1" xfId="0" applyAlignment="1" applyBorder="1" applyFont="1" applyNumberFormat="1">
      <alignment horizontal="center" shrinkToFit="0" wrapText="1"/>
    </xf>
    <xf borderId="11" fillId="2" fontId="10" numFmtId="165" xfId="0" applyAlignment="1" applyBorder="1" applyFont="1" applyNumberFormat="1">
      <alignment horizontal="center" shrinkToFit="0" wrapText="1"/>
    </xf>
    <xf borderId="11" fillId="2" fontId="10" numFmtId="165" xfId="0" applyAlignment="1" applyBorder="1" applyFont="1" applyNumberFormat="1">
      <alignment horizontal="right" shrinkToFit="0" wrapText="1"/>
    </xf>
    <xf borderId="11" fillId="2" fontId="1" numFmtId="165" xfId="0" applyAlignment="1" applyBorder="1" applyFont="1" applyNumberFormat="1">
      <alignment horizontal="right"/>
    </xf>
    <xf borderId="11" fillId="2" fontId="1" numFmtId="10" xfId="0" applyAlignment="1" applyBorder="1" applyFont="1" applyNumberFormat="1">
      <alignment horizontal="right"/>
    </xf>
    <xf borderId="4" fillId="2" fontId="1" numFmtId="10" xfId="0" applyBorder="1" applyFont="1" applyNumberFormat="1"/>
    <xf borderId="13" fillId="3" fontId="1" numFmtId="3" xfId="0" applyBorder="1" applyFont="1" applyNumberFormat="1"/>
    <xf borderId="14" fillId="3" fontId="1" numFmtId="3" xfId="0" applyBorder="1" applyFont="1" applyNumberFormat="1"/>
    <xf borderId="14" fillId="3" fontId="1" numFmtId="10" xfId="0" applyAlignment="1" applyBorder="1" applyFont="1" applyNumberFormat="1">
      <alignment horizontal="center"/>
    </xf>
    <xf borderId="15" fillId="3" fontId="12" numFmtId="3" xfId="0" applyBorder="1" applyFont="1" applyNumberFormat="1"/>
    <xf borderId="16" fillId="0" fontId="1" numFmtId="0" xfId="0" applyAlignment="1" applyBorder="1" applyFont="1">
      <alignment horizontal="center"/>
    </xf>
    <xf borderId="0" fillId="0" fontId="1" numFmtId="165" xfId="0" applyAlignment="1" applyFont="1" applyNumberFormat="1">
      <alignment horizontal="center"/>
    </xf>
    <xf borderId="0" fillId="0" fontId="1" numFmtId="166" xfId="0" applyFont="1" applyNumberFormat="1"/>
    <xf borderId="0" fillId="0" fontId="1" numFmtId="167" xfId="0" applyAlignment="1" applyFont="1" applyNumberFormat="1">
      <alignment horizontal="center"/>
    </xf>
    <xf borderId="0" fillId="0" fontId="1" numFmtId="10" xfId="0" applyFont="1" applyNumberFormat="1"/>
    <xf borderId="17" fillId="0" fontId="1" numFmtId="10" xfId="0" applyBorder="1" applyFont="1" applyNumberFormat="1"/>
    <xf borderId="0" fillId="0" fontId="1" numFmtId="167" xfId="0" applyFont="1" applyNumberFormat="1"/>
    <xf borderId="18" fillId="0" fontId="1" numFmtId="166" xfId="0" applyBorder="1" applyFont="1" applyNumberFormat="1"/>
    <xf borderId="19" fillId="0" fontId="1" numFmtId="166" xfId="0" applyBorder="1" applyFont="1" applyNumberFormat="1"/>
    <xf borderId="19" fillId="0" fontId="1" numFmtId="10" xfId="0" applyBorder="1" applyFont="1" applyNumberFormat="1"/>
    <xf borderId="20" fillId="0" fontId="1" numFmtId="10" xfId="0" applyBorder="1" applyFont="1" applyNumberFormat="1"/>
    <xf borderId="21" fillId="0" fontId="1" numFmtId="0" xfId="0" applyAlignment="1" applyBorder="1" applyFont="1">
      <alignment horizontal="center"/>
    </xf>
    <xf borderId="22" fillId="3" fontId="1" numFmtId="3" xfId="0" applyBorder="1" applyFont="1" applyNumberFormat="1"/>
    <xf borderId="23" fillId="3" fontId="1" numFmtId="3" xfId="0" applyBorder="1" applyFont="1" applyNumberFormat="1"/>
    <xf borderId="23" fillId="3" fontId="1" numFmtId="10" xfId="0" applyAlignment="1" applyBorder="1" applyFont="1" applyNumberFormat="1">
      <alignment horizontal="center"/>
    </xf>
    <xf borderId="24" fillId="3" fontId="12" numFmtId="3" xfId="0" applyBorder="1" applyFont="1" applyNumberFormat="1"/>
    <xf borderId="0" fillId="0" fontId="1" numFmtId="165" xfId="0" applyFont="1" applyNumberFormat="1"/>
    <xf borderId="11" fillId="2" fontId="1" numFmtId="1" xfId="0" applyAlignment="1" applyBorder="1" applyFont="1" applyNumberFormat="1">
      <alignment horizontal="center" shrinkToFit="0" wrapText="1"/>
    </xf>
    <xf borderId="11" fillId="2" fontId="1" numFmtId="165" xfId="0" applyAlignment="1" applyBorder="1" applyFont="1" applyNumberFormat="1">
      <alignment horizontal="center" shrinkToFit="0" wrapText="1"/>
    </xf>
    <xf borderId="12" fillId="2" fontId="10" numFmtId="0" xfId="0" applyAlignment="1" applyBorder="1" applyFont="1">
      <alignment horizontal="right" shrinkToFit="0" wrapText="1"/>
    </xf>
    <xf borderId="12" fillId="2" fontId="1" numFmtId="0" xfId="0" applyAlignment="1" applyBorder="1" applyFont="1">
      <alignment shrinkToFit="0" wrapText="1"/>
    </xf>
    <xf borderId="12" fillId="2" fontId="10" numFmtId="164" xfId="0" applyAlignment="1" applyBorder="1" applyFont="1" applyNumberFormat="1">
      <alignment shrinkToFit="0" wrapText="1"/>
    </xf>
    <xf borderId="12" fillId="2" fontId="10" numFmtId="165" xfId="0" applyAlignment="1" applyBorder="1" applyFont="1" applyNumberFormat="1">
      <alignment horizontal="center" shrinkToFit="0" wrapText="1"/>
    </xf>
    <xf borderId="12" fillId="2" fontId="1" numFmtId="165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center" shrinkToFit="0" wrapText="1"/>
    </xf>
    <xf borderId="11" fillId="2" fontId="1" numFmtId="168" xfId="0" applyAlignment="1" applyBorder="1" applyFont="1" applyNumberFormat="1">
      <alignment horizontal="center" shrinkToFit="0" wrapText="1"/>
    </xf>
    <xf borderId="12" fillId="2" fontId="1" numFmtId="165" xfId="0" applyAlignment="1" applyBorder="1" applyFont="1" applyNumberFormat="1">
      <alignment horizontal="center" shrinkToFit="0" wrapText="1"/>
    </xf>
    <xf borderId="9" fillId="2" fontId="13" numFmtId="0" xfId="0" applyAlignment="1" applyBorder="1" applyFont="1">
      <alignment horizontal="center"/>
    </xf>
    <xf borderId="12" fillId="2" fontId="10" numFmtId="165" xfId="0" applyAlignment="1" applyBorder="1" applyFont="1" applyNumberFormat="1">
      <alignment horizontal="right" shrinkToFit="0" wrapText="1"/>
    </xf>
    <xf borderId="12" fillId="2" fontId="1" numFmtId="164" xfId="0" applyAlignment="1" applyBorder="1" applyFont="1" applyNumberFormat="1">
      <alignment shrinkToFit="0" wrapText="1"/>
    </xf>
    <xf borderId="12" fillId="2" fontId="10" numFmtId="168" xfId="0" applyAlignment="1" applyBorder="1" applyFont="1" applyNumberFormat="1">
      <alignment horizontal="center" shrinkToFit="0" wrapText="1"/>
    </xf>
    <xf borderId="4" fillId="2" fontId="13" numFmtId="10" xfId="0" applyBorder="1" applyFont="1" applyNumberFormat="1"/>
    <xf borderId="0" fillId="0" fontId="13" numFmtId="0" xfId="0" applyFont="1"/>
    <xf borderId="22" fillId="3" fontId="13" numFmtId="3" xfId="0" applyBorder="1" applyFont="1" applyNumberFormat="1"/>
    <xf borderId="23" fillId="3" fontId="13" numFmtId="3" xfId="0" applyBorder="1" applyFont="1" applyNumberFormat="1"/>
    <xf borderId="23" fillId="3" fontId="13" numFmtId="10" xfId="0" applyAlignment="1" applyBorder="1" applyFont="1" applyNumberFormat="1">
      <alignment horizontal="center"/>
    </xf>
    <xf borderId="24" fillId="3" fontId="14" numFmtId="3" xfId="0" applyBorder="1" applyFont="1" applyNumberFormat="1"/>
    <xf borderId="12" fillId="2" fontId="10" numFmtId="0" xfId="0" applyAlignment="1" applyBorder="1" applyFont="1">
      <alignment shrinkToFit="0" wrapText="1"/>
    </xf>
    <xf borderId="12" fillId="2" fontId="13" numFmtId="0" xfId="0" applyAlignment="1" applyBorder="1" applyFont="1">
      <alignment shrinkToFit="0" wrapText="1"/>
    </xf>
    <xf borderId="12" fillId="2" fontId="13" numFmtId="164" xfId="0" applyAlignment="1" applyBorder="1" applyFont="1" applyNumberFormat="1">
      <alignment shrinkToFit="0" wrapText="1"/>
    </xf>
    <xf borderId="12" fillId="2" fontId="13" numFmtId="0" xfId="0" applyAlignment="1" applyBorder="1" applyFont="1">
      <alignment horizontal="right" shrinkToFit="0" wrapText="1"/>
    </xf>
    <xf borderId="12" fillId="2" fontId="13" numFmtId="17" xfId="0" applyAlignment="1" applyBorder="1" applyFont="1" applyNumberFormat="1">
      <alignment horizontal="center" shrinkToFit="0" wrapText="1"/>
    </xf>
    <xf borderId="12" fillId="2" fontId="13" numFmtId="1" xfId="0" applyAlignment="1" applyBorder="1" applyFont="1" applyNumberFormat="1">
      <alignment horizontal="center" shrinkToFit="0" wrapText="1"/>
    </xf>
    <xf borderId="12" fillId="2" fontId="13" numFmtId="165" xfId="0" applyAlignment="1" applyBorder="1" applyFont="1" applyNumberFormat="1">
      <alignment horizontal="center" shrinkToFit="0" wrapText="1"/>
    </xf>
    <xf borderId="12" fillId="2" fontId="13" numFmtId="165" xfId="0" applyAlignment="1" applyBorder="1" applyFont="1" applyNumberFormat="1">
      <alignment horizontal="right" shrinkToFit="0" wrapText="1"/>
    </xf>
    <xf borderId="12" fillId="2" fontId="13" numFmtId="165" xfId="0" applyAlignment="1" applyBorder="1" applyFont="1" applyNumberFormat="1">
      <alignment horizontal="right"/>
    </xf>
    <xf borderId="12" fillId="2" fontId="10" numFmtId="17" xfId="0" applyAlignment="1" applyBorder="1" applyFont="1" applyNumberFormat="1">
      <alignment horizontal="center" shrinkToFit="0" wrapText="1"/>
    </xf>
    <xf borderId="25" fillId="2" fontId="1" numFmtId="0" xfId="0" applyAlignment="1" applyBorder="1" applyFont="1">
      <alignment shrinkToFit="0" wrapText="1"/>
    </xf>
    <xf borderId="25" fillId="2" fontId="10" numFmtId="164" xfId="0" applyAlignment="1" applyBorder="1" applyFont="1" applyNumberFormat="1">
      <alignment shrinkToFit="0" wrapText="1"/>
    </xf>
    <xf borderId="26" fillId="2" fontId="10" numFmtId="17" xfId="0" applyAlignment="1" applyBorder="1" applyFont="1" applyNumberFormat="1">
      <alignment horizontal="center" shrinkToFit="0" wrapText="1"/>
    </xf>
    <xf borderId="11" fillId="2" fontId="10" numFmtId="0" xfId="0" applyAlignment="1" applyBorder="1" applyFont="1">
      <alignment shrinkToFit="0" wrapText="1"/>
    </xf>
    <xf borderId="25" fillId="2" fontId="10" numFmtId="0" xfId="0" applyAlignment="1" applyBorder="1" applyFont="1">
      <alignment shrinkToFit="0" wrapText="1"/>
    </xf>
    <xf borderId="27" fillId="2" fontId="10" numFmtId="0" xfId="0" applyAlignment="1" applyBorder="1" applyFont="1">
      <alignment horizontal="right" shrinkToFit="0" wrapText="1"/>
    </xf>
    <xf borderId="11" fillId="2" fontId="13" numFmtId="0" xfId="0" applyAlignment="1" applyBorder="1" applyFont="1">
      <alignment shrinkToFit="0" wrapText="1"/>
    </xf>
    <xf borderId="25" fillId="2" fontId="13" numFmtId="0" xfId="0" applyAlignment="1" applyBorder="1" applyFont="1">
      <alignment shrinkToFit="0" wrapText="1"/>
    </xf>
    <xf borderId="25" fillId="2" fontId="13" numFmtId="164" xfId="0" applyAlignment="1" applyBorder="1" applyFont="1" applyNumberFormat="1">
      <alignment shrinkToFit="0" wrapText="1"/>
    </xf>
    <xf borderId="11" fillId="2" fontId="13" numFmtId="0" xfId="0" applyAlignment="1" applyBorder="1" applyFont="1">
      <alignment horizontal="right" shrinkToFit="0" wrapText="1"/>
    </xf>
    <xf borderId="26" fillId="2" fontId="13" numFmtId="17" xfId="0" applyAlignment="1" applyBorder="1" applyFont="1" applyNumberFormat="1">
      <alignment horizontal="center" shrinkToFit="0" wrapText="1"/>
    </xf>
    <xf borderId="11" fillId="2" fontId="13" numFmtId="1" xfId="0" applyAlignment="1" applyBorder="1" applyFont="1" applyNumberFormat="1">
      <alignment horizontal="center" shrinkToFit="0" wrapText="1"/>
    </xf>
    <xf borderId="12" fillId="2" fontId="1" numFmtId="165" xfId="0" applyAlignment="1" applyBorder="1" applyFont="1" applyNumberFormat="1">
      <alignment horizontal="right" shrinkToFit="0" wrapText="1"/>
    </xf>
    <xf borderId="27" fillId="2" fontId="13" numFmtId="0" xfId="0" applyAlignment="1" applyBorder="1" applyFont="1">
      <alignment horizontal="right" shrinkToFit="0" wrapText="1"/>
    </xf>
    <xf borderId="11" fillId="2" fontId="13" numFmtId="165" xfId="0" applyAlignment="1" applyBorder="1" applyFont="1" applyNumberFormat="1">
      <alignment horizontal="center" shrinkToFit="0" wrapText="1"/>
    </xf>
    <xf borderId="28" fillId="2" fontId="10" numFmtId="165" xfId="0" applyAlignment="1" applyBorder="1" applyFont="1" applyNumberFormat="1">
      <alignment horizontal="center" shrinkToFit="0" wrapText="1"/>
    </xf>
    <xf borderId="27" fillId="2" fontId="10" numFmtId="164" xfId="0" applyAlignment="1" applyBorder="1" applyFont="1" applyNumberFormat="1">
      <alignment horizontal="right" shrinkToFit="0" wrapText="1"/>
    </xf>
    <xf borderId="11" fillId="2" fontId="1" numFmtId="165" xfId="0" applyAlignment="1" applyBorder="1" applyFont="1" applyNumberFormat="1">
      <alignment horizontal="right" shrinkToFit="0" wrapText="1"/>
    </xf>
    <xf borderId="29" fillId="2" fontId="1" numFmtId="0" xfId="0" applyAlignment="1" applyBorder="1" applyFont="1">
      <alignment shrinkToFit="0" wrapText="1"/>
    </xf>
    <xf borderId="29" fillId="2" fontId="10" numFmtId="164" xfId="0" applyAlignment="1" applyBorder="1" applyFont="1" applyNumberFormat="1">
      <alignment shrinkToFit="0" wrapText="1"/>
    </xf>
    <xf borderId="12" fillId="2" fontId="1" numFmtId="168" xfId="0" applyAlignment="1" applyBorder="1" applyFont="1" applyNumberFormat="1">
      <alignment horizontal="center" shrinkToFit="0" wrapText="1"/>
    </xf>
    <xf borderId="27" fillId="2" fontId="1" numFmtId="0" xfId="0" applyAlignment="1" applyBorder="1" applyFont="1">
      <alignment shrinkToFit="0" wrapText="1"/>
    </xf>
    <xf borderId="30" fillId="2" fontId="1" numFmtId="0" xfId="0" applyAlignment="1" applyBorder="1" applyFont="1">
      <alignment shrinkToFit="0" wrapText="1"/>
    </xf>
    <xf borderId="11" fillId="2" fontId="1" numFmtId="165" xfId="0" applyAlignment="1" applyBorder="1" applyFont="1" applyNumberFormat="1">
      <alignment horizontal="right" readingOrder="0"/>
    </xf>
    <xf borderId="11" fillId="2" fontId="1" numFmtId="4" xfId="0" applyAlignment="1" applyBorder="1" applyFont="1" applyNumberFormat="1">
      <alignment shrinkToFit="0" wrapText="1"/>
    </xf>
    <xf borderId="11" fillId="2" fontId="10" numFmtId="169" xfId="0" applyAlignment="1" applyBorder="1" applyFont="1" applyNumberFormat="1">
      <alignment horizontal="center"/>
    </xf>
    <xf borderId="12" fillId="2" fontId="1" numFmtId="165" xfId="0" applyAlignment="1" applyBorder="1" applyFont="1" applyNumberFormat="1">
      <alignment horizontal="right" readingOrder="0"/>
    </xf>
    <xf borderId="11" fillId="2" fontId="10" numFmtId="164" xfId="0" applyAlignment="1" applyBorder="1" applyFont="1" applyNumberFormat="1">
      <alignment horizontal="right" shrinkToFit="0" wrapText="1"/>
    </xf>
    <xf borderId="11" fillId="2" fontId="10" numFmtId="0" xfId="0" applyAlignment="1" applyBorder="1" applyFont="1">
      <alignment horizontal="center" readingOrder="0" shrinkToFit="0" wrapText="1"/>
    </xf>
    <xf borderId="11" fillId="2" fontId="1" numFmtId="0" xfId="0" applyAlignment="1" applyBorder="1" applyFont="1">
      <alignment horizontal="right" shrinkToFit="0" wrapText="1"/>
    </xf>
    <xf borderId="16" fillId="3" fontId="1" numFmtId="3" xfId="0" applyBorder="1" applyFont="1" applyNumberFormat="1"/>
    <xf borderId="0" fillId="3" fontId="1" numFmtId="3" xfId="0" applyFont="1" applyNumberFormat="1"/>
    <xf borderId="0" fillId="3" fontId="1" numFmtId="10" xfId="0" applyAlignment="1" applyFont="1" applyNumberFormat="1">
      <alignment horizontal="center"/>
    </xf>
    <xf borderId="0" fillId="0" fontId="1" numFmtId="10" xfId="0" applyAlignment="1" applyFont="1" applyNumberFormat="1">
      <alignment horizontal="right"/>
    </xf>
    <xf borderId="11" fillId="2" fontId="10" numFmtId="17" xfId="0" applyAlignment="1" applyBorder="1" applyFont="1" applyNumberFormat="1">
      <alignment horizontal="center" readingOrder="0" shrinkToFit="0" wrapText="1"/>
    </xf>
    <xf borderId="11" fillId="2" fontId="10" numFmtId="165" xfId="0" applyAlignment="1" applyBorder="1" applyFont="1" applyNumberFormat="1">
      <alignment horizontal="center" readingOrder="0" shrinkToFit="0" wrapText="1"/>
    </xf>
    <xf borderId="11" fillId="2" fontId="10" numFmtId="165" xfId="0" applyAlignment="1" applyBorder="1" applyFont="1" applyNumberFormat="1">
      <alignment horizontal="right" readingOrder="0" shrinkToFit="0" wrapText="1"/>
    </xf>
    <xf borderId="23" fillId="3" fontId="1" numFmtId="3" xfId="0" applyAlignment="1" applyBorder="1" applyFont="1" applyNumberFormat="1">
      <alignment readingOrder="0"/>
    </xf>
    <xf borderId="23" fillId="3" fontId="1" numFmtId="10" xfId="0" applyAlignment="1" applyBorder="1" applyFont="1" applyNumberFormat="1">
      <alignment horizontal="center" readingOrder="0"/>
    </xf>
    <xf borderId="12" fillId="2" fontId="1" numFmtId="3" xfId="0" applyAlignment="1" applyBorder="1" applyFont="1" applyNumberFormat="1">
      <alignment horizontal="right"/>
    </xf>
    <xf borderId="22" fillId="4" fontId="1" numFmtId="3" xfId="0" applyBorder="1" applyFill="1" applyFont="1" applyNumberFormat="1"/>
    <xf borderId="23" fillId="4" fontId="1" numFmtId="3" xfId="0" applyBorder="1" applyFont="1" applyNumberFormat="1"/>
    <xf borderId="23" fillId="4" fontId="1" numFmtId="10" xfId="0" applyAlignment="1" applyBorder="1" applyFont="1" applyNumberFormat="1">
      <alignment horizontal="center" readingOrder="0"/>
    </xf>
    <xf borderId="22" fillId="3" fontId="1" numFmtId="0" xfId="0" applyBorder="1" applyFont="1"/>
    <xf borderId="23" fillId="3" fontId="1" numFmtId="0" xfId="0" applyAlignment="1" applyBorder="1" applyFont="1">
      <alignment readingOrder="0"/>
    </xf>
    <xf borderId="11" fillId="2" fontId="4" numFmtId="0" xfId="0" applyAlignment="1" applyBorder="1" applyFont="1">
      <alignment vertical="bottom"/>
    </xf>
    <xf borderId="11" fillId="2" fontId="1" numFmtId="4" xfId="0" applyAlignment="1" applyBorder="1" applyFont="1" applyNumberFormat="1">
      <alignment readingOrder="0" shrinkToFit="0" wrapText="1"/>
    </xf>
    <xf borderId="11" fillId="2" fontId="15" numFmtId="164" xfId="0" applyAlignment="1" applyBorder="1" applyFont="1" applyNumberFormat="1">
      <alignment vertical="bottom"/>
    </xf>
    <xf borderId="31" fillId="2" fontId="15" numFmtId="0" xfId="0" applyAlignment="1" applyBorder="1" applyFont="1">
      <alignment horizontal="right" vertical="bottom"/>
    </xf>
    <xf borderId="31" fillId="2" fontId="15" numFmtId="17" xfId="0" applyAlignment="1" applyBorder="1" applyFont="1" applyNumberFormat="1">
      <alignment horizontal="center" vertical="bottom"/>
    </xf>
    <xf borderId="31" fillId="2" fontId="15" numFmtId="0" xfId="0" applyAlignment="1" applyBorder="1" applyFont="1">
      <alignment horizontal="center" readingOrder="0" vertical="bottom"/>
    </xf>
    <xf borderId="31" fillId="2" fontId="15" numFmtId="165" xfId="0" applyAlignment="1" applyBorder="1" applyFont="1" applyNumberFormat="1">
      <alignment horizontal="center" vertical="bottom"/>
    </xf>
    <xf borderId="31" fillId="2" fontId="15" numFmtId="165" xfId="0" applyAlignment="1" applyBorder="1" applyFont="1" applyNumberFormat="1">
      <alignment horizontal="right" readingOrder="0" vertical="bottom"/>
    </xf>
    <xf borderId="11" fillId="2" fontId="10" numFmtId="0" xfId="0" applyAlignment="1" applyBorder="1" applyFont="1">
      <alignment horizontal="right" readingOrder="0" shrinkToFit="0" wrapText="1"/>
    </xf>
    <xf borderId="31" fillId="2" fontId="15" numFmtId="165" xfId="0" applyAlignment="1" applyBorder="1" applyFont="1" applyNumberFormat="1">
      <alignment horizontal="center" readingOrder="0" vertical="bottom"/>
    </xf>
    <xf borderId="23" fillId="3" fontId="1" numFmtId="0" xfId="0" applyBorder="1" applyFont="1"/>
    <xf borderId="23" fillId="3" fontId="1" numFmtId="0" xfId="0" applyAlignment="1" applyBorder="1" applyFont="1">
      <alignment horizontal="center"/>
    </xf>
    <xf borderId="24" fillId="3" fontId="12" numFmtId="0" xfId="0" applyBorder="1" applyFont="1"/>
    <xf borderId="11" fillId="2" fontId="1" numFmtId="0" xfId="0" applyAlignment="1" applyBorder="1" applyFont="1">
      <alignment readingOrder="0" shrinkToFit="0" wrapText="1"/>
    </xf>
    <xf borderId="11" fillId="2" fontId="10" numFmtId="164" xfId="0" applyAlignment="1" applyBorder="1" applyFont="1" applyNumberFormat="1">
      <alignment readingOrder="0" shrinkToFit="0" wrapText="1"/>
    </xf>
    <xf borderId="31" fillId="2" fontId="15" numFmtId="17" xfId="0" applyAlignment="1" applyBorder="1" applyFont="1" applyNumberFormat="1">
      <alignment horizontal="center" readingOrder="0" vertical="bottom"/>
    </xf>
    <xf borderId="12" fillId="2" fontId="1" numFmtId="165" xfId="0" applyAlignment="1" applyBorder="1" applyFont="1" applyNumberFormat="1">
      <alignment readingOrder="0"/>
    </xf>
    <xf borderId="11" fillId="2" fontId="1" numFmtId="165" xfId="0" applyAlignment="1" applyBorder="1" applyFont="1" applyNumberFormat="1">
      <alignment readingOrder="0"/>
    </xf>
    <xf borderId="12" fillId="2" fontId="10" numFmtId="1" xfId="0" applyAlignment="1" applyBorder="1" applyFont="1" applyNumberFormat="1">
      <alignment horizontal="center" readingOrder="0" shrinkToFit="0" wrapText="1"/>
    </xf>
    <xf borderId="12" fillId="2" fontId="1" numFmtId="3" xfId="0" applyBorder="1" applyFont="1" applyNumberFormat="1"/>
    <xf borderId="12" fillId="2" fontId="1" numFmtId="165" xfId="0" applyBorder="1" applyFont="1" applyNumberFormat="1"/>
    <xf borderId="22" fillId="3" fontId="1" numFmtId="0" xfId="0" applyAlignment="1" applyBorder="1" applyFont="1">
      <alignment readingOrder="0"/>
    </xf>
    <xf borderId="23" fillId="3" fontId="1" numFmtId="9" xfId="0" applyAlignment="1" applyBorder="1" applyFont="1" applyNumberFormat="1">
      <alignment horizontal="center" readingOrder="0"/>
    </xf>
    <xf borderId="32" fillId="3" fontId="1" numFmtId="0" xfId="0" applyBorder="1" applyFont="1"/>
    <xf borderId="33" fillId="3" fontId="1" numFmtId="0" xfId="0" applyAlignment="1" applyBorder="1" applyFont="1">
      <alignment readingOrder="0"/>
    </xf>
    <xf borderId="33" fillId="3" fontId="1" numFmtId="10" xfId="0" applyAlignment="1" applyBorder="1" applyFont="1" applyNumberFormat="1">
      <alignment horizontal="center" readingOrder="0"/>
    </xf>
    <xf borderId="33" fillId="3" fontId="1" numFmtId="9" xfId="0" applyAlignment="1" applyBorder="1" applyFont="1" applyNumberFormat="1">
      <alignment horizontal="center" readingOrder="0"/>
    </xf>
    <xf borderId="34" fillId="2" fontId="10" numFmtId="0" xfId="0" applyAlignment="1" applyBorder="1" applyFont="1">
      <alignment horizontal="center" readingOrder="0" shrinkToFit="0" wrapText="1"/>
    </xf>
    <xf borderId="34" fillId="2" fontId="1" numFmtId="0" xfId="0" applyAlignment="1" applyBorder="1" applyFont="1">
      <alignment horizontal="center" readingOrder="0"/>
    </xf>
    <xf borderId="11" fillId="2" fontId="1" numFmtId="0" xfId="0" applyAlignment="1" applyBorder="1" applyFont="1">
      <alignment horizontal="center" readingOrder="0"/>
    </xf>
    <xf borderId="33" fillId="3" fontId="1" numFmtId="0" xfId="0" applyBorder="1" applyFont="1"/>
    <xf borderId="33" fillId="3" fontId="1" numFmtId="0" xfId="0" applyAlignment="1" applyBorder="1" applyFont="1">
      <alignment horizontal="center"/>
    </xf>
    <xf borderId="35" fillId="3" fontId="12" numFmtId="0" xfId="0" applyBorder="1" applyFont="1"/>
    <xf borderId="11" fillId="2" fontId="1" numFmtId="165" xfId="0" applyBorder="1" applyFont="1" applyNumberFormat="1"/>
    <xf borderId="11" fillId="2" fontId="1" numFmtId="10" xfId="0" applyBorder="1" applyFont="1" applyNumberFormat="1"/>
    <xf borderId="16" fillId="0" fontId="1" numFmtId="166" xfId="0" applyBorder="1" applyFont="1" applyNumberFormat="1"/>
    <xf borderId="28" fillId="2" fontId="1" numFmtId="0" xfId="0" applyAlignment="1" applyBorder="1" applyFont="1">
      <alignment shrinkToFit="0" wrapText="1"/>
    </xf>
    <xf borderId="28" fillId="2" fontId="10" numFmtId="164" xfId="0" applyAlignment="1" applyBorder="1" applyFont="1" applyNumberFormat="1">
      <alignment shrinkToFit="0" wrapText="1"/>
    </xf>
    <xf borderId="28" fillId="2" fontId="10" numFmtId="0" xfId="0" applyAlignment="1" applyBorder="1" applyFont="1">
      <alignment horizontal="right" shrinkToFit="0" wrapText="1"/>
    </xf>
    <xf borderId="28" fillId="2" fontId="10" numFmtId="17" xfId="0" applyAlignment="1" applyBorder="1" applyFont="1" applyNumberFormat="1">
      <alignment horizontal="center" shrinkToFit="0" wrapText="1"/>
    </xf>
    <xf borderId="28" fillId="2" fontId="10" numFmtId="1" xfId="0" applyAlignment="1" applyBorder="1" applyFont="1" applyNumberFormat="1">
      <alignment horizontal="center" shrinkToFit="0" wrapText="1"/>
    </xf>
    <xf borderId="28" fillId="2" fontId="10" numFmtId="165" xfId="0" applyAlignment="1" applyBorder="1" applyFont="1" applyNumberFormat="1">
      <alignment horizontal="right" shrinkToFit="0" wrapText="1"/>
    </xf>
    <xf borderId="28" fillId="2" fontId="1" numFmtId="165" xfId="0" applyBorder="1" applyFont="1" applyNumberFormat="1"/>
    <xf borderId="28" fillId="2" fontId="1" numFmtId="10" xfId="0" applyBorder="1" applyFont="1" applyNumberFormat="1"/>
    <xf borderId="16" fillId="5" fontId="1" numFmtId="0" xfId="0" applyBorder="1" applyFill="1" applyFont="1"/>
    <xf borderId="0" fillId="5" fontId="1" numFmtId="0" xfId="0" applyFont="1"/>
    <xf borderId="0" fillId="5" fontId="1" numFmtId="0" xfId="0" applyAlignment="1" applyFont="1">
      <alignment horizontal="center"/>
    </xf>
    <xf borderId="17" fillId="5" fontId="12" numFmtId="0" xfId="0" applyBorder="1" applyFont="1"/>
    <xf borderId="28" fillId="2" fontId="10" numFmtId="0" xfId="0" applyAlignment="1" applyBorder="1" applyFont="1">
      <alignment shrinkToFit="0" wrapText="1"/>
    </xf>
    <xf borderId="28" fillId="2" fontId="10" numFmtId="0" xfId="0" applyAlignment="1" applyBorder="1" applyFont="1">
      <alignment horizontal="center" shrinkToFit="0" wrapText="1"/>
    </xf>
    <xf borderId="28" fillId="2" fontId="10" numFmtId="168" xfId="0" applyAlignment="1" applyBorder="1" applyFont="1" applyNumberFormat="1">
      <alignment horizontal="center" shrinkToFit="0" wrapText="1"/>
    </xf>
    <xf borderId="28" fillId="2" fontId="16" numFmtId="165" xfId="0" applyAlignment="1" applyBorder="1" applyFont="1" applyNumberFormat="1">
      <alignment horizontal="right" shrinkToFit="0" wrapText="1"/>
    </xf>
    <xf borderId="28" fillId="2" fontId="17" numFmtId="165" xfId="0" applyBorder="1" applyFont="1" applyNumberFormat="1"/>
    <xf borderId="36" fillId="2" fontId="12" numFmtId="10" xfId="0" applyAlignment="1" applyBorder="1" applyFont="1" applyNumberFormat="1">
      <alignment horizontal="center"/>
    </xf>
    <xf borderId="37" fillId="0" fontId="11" numFmtId="0" xfId="0" applyBorder="1" applyFont="1"/>
    <xf borderId="17" fillId="0" fontId="1" numFmtId="166" xfId="0" applyBorder="1" applyFont="1" applyNumberFormat="1"/>
    <xf borderId="0" fillId="0" fontId="1" numFmtId="166" xfId="0" applyAlignment="1" applyFont="1" applyNumberFormat="1">
      <alignment horizontal="right"/>
    </xf>
    <xf borderId="16" fillId="0" fontId="1" numFmtId="0" xfId="0" applyBorder="1" applyFont="1"/>
    <xf borderId="17" fillId="0" fontId="1" numFmtId="0" xfId="0" applyBorder="1" applyFont="1"/>
    <xf borderId="28" fillId="2" fontId="1" numFmtId="0" xfId="0" applyBorder="1" applyFont="1"/>
    <xf borderId="28" fillId="2" fontId="12" numFmtId="0" xfId="0" applyAlignment="1" applyBorder="1" applyFont="1">
      <alignment horizontal="center"/>
    </xf>
    <xf borderId="38" fillId="2" fontId="12" numFmtId="0" xfId="0" applyAlignment="1" applyBorder="1" applyFont="1">
      <alignment horizontal="center"/>
    </xf>
    <xf borderId="28" fillId="2" fontId="12" numFmtId="0" xfId="0" applyAlignment="1" applyBorder="1" applyFont="1">
      <alignment horizontal="right"/>
    </xf>
    <xf borderId="0" fillId="5" fontId="1" numFmtId="170" xfId="0" applyFont="1" applyNumberFormat="1"/>
    <xf borderId="17" fillId="5" fontId="12" numFmtId="170" xfId="0" applyBorder="1" applyFont="1" applyNumberFormat="1"/>
    <xf borderId="6" fillId="0" fontId="1" numFmtId="0" xfId="0" applyAlignment="1" applyBorder="1" applyFont="1">
      <alignment horizontal="center"/>
    </xf>
    <xf borderId="6" fillId="0" fontId="1" numFmtId="165" xfId="0" applyAlignment="1" applyBorder="1" applyFont="1" applyNumberFormat="1">
      <alignment horizontal="center"/>
    </xf>
    <xf borderId="6" fillId="0" fontId="1" numFmtId="166" xfId="0" applyAlignment="1" applyBorder="1" applyFont="1" applyNumberFormat="1">
      <alignment horizontal="center"/>
    </xf>
    <xf borderId="7" fillId="0" fontId="1" numFmtId="3" xfId="0" applyAlignment="1" applyBorder="1" applyFont="1" applyNumberFormat="1">
      <alignment horizontal="center"/>
    </xf>
    <xf borderId="7" fillId="0" fontId="1" numFmtId="10" xfId="0" applyAlignment="1" applyBorder="1" applyFont="1" applyNumberFormat="1">
      <alignment horizontal="right"/>
    </xf>
    <xf borderId="8" fillId="0" fontId="1" numFmtId="10" xfId="0" applyAlignment="1" applyBorder="1" applyFont="1" applyNumberFormat="1">
      <alignment horizontal="right"/>
    </xf>
    <xf borderId="7" fillId="0" fontId="1" numFmtId="0" xfId="0" applyAlignment="1" applyBorder="1" applyFont="1">
      <alignment horizontal="center"/>
    </xf>
    <xf borderId="7" fillId="0" fontId="1" numFmtId="4" xfId="0" applyAlignment="1" applyBorder="1" applyFont="1" applyNumberFormat="1">
      <alignment horizontal="center"/>
    </xf>
    <xf borderId="6" fillId="0" fontId="1" numFmtId="166" xfId="0" applyBorder="1" applyFont="1" applyNumberFormat="1"/>
    <xf borderId="7" fillId="0" fontId="1" numFmtId="166" xfId="0" applyBorder="1" applyFont="1" applyNumberFormat="1"/>
    <xf borderId="7" fillId="0" fontId="1" numFmtId="10" xfId="0" applyBorder="1" applyFont="1" applyNumberFormat="1"/>
    <xf borderId="8" fillId="0" fontId="1" numFmtId="10" xfId="0" applyBorder="1" applyFont="1" applyNumberFormat="1"/>
    <xf borderId="5" fillId="0" fontId="1" numFmtId="0" xfId="0" applyAlignment="1" applyBorder="1" applyFont="1">
      <alignment horizontal="center"/>
    </xf>
    <xf borderId="39" fillId="2" fontId="8" numFmtId="0" xfId="0" applyAlignment="1" applyBorder="1" applyFont="1">
      <alignment shrinkToFit="0" wrapText="1"/>
    </xf>
    <xf borderId="40" fillId="2" fontId="8" numFmtId="0" xfId="0" applyAlignment="1" applyBorder="1" applyFont="1">
      <alignment shrinkToFit="0" wrapText="1"/>
    </xf>
    <xf borderId="40" fillId="2" fontId="1" numFmtId="164" xfId="0" applyAlignment="1" applyBorder="1" applyFont="1" applyNumberFormat="1">
      <alignment horizontal="center"/>
    </xf>
    <xf borderId="40" fillId="2" fontId="1" numFmtId="0" xfId="0" applyAlignment="1" applyBorder="1" applyFont="1">
      <alignment horizontal="center"/>
    </xf>
    <xf borderId="40" fillId="2" fontId="1" numFmtId="10" xfId="0" applyAlignment="1" applyBorder="1" applyFont="1" applyNumberFormat="1">
      <alignment horizontal="center"/>
    </xf>
    <xf borderId="41" fillId="2" fontId="1" numFmtId="164" xfId="0" applyAlignment="1" applyBorder="1" applyFont="1" applyNumberFormat="1">
      <alignment horizontal="center"/>
    </xf>
    <xf borderId="42" fillId="2" fontId="1" numFmtId="1" xfId="0" applyAlignment="1" applyBorder="1" applyFont="1" applyNumberFormat="1">
      <alignment horizontal="center"/>
    </xf>
    <xf borderId="43" fillId="2" fontId="1" numFmtId="2" xfId="0" applyAlignment="1" applyBorder="1" applyFont="1" applyNumberFormat="1">
      <alignment horizontal="center"/>
    </xf>
    <xf borderId="40" fillId="2" fontId="1" numFmtId="10" xfId="0" applyAlignment="1" applyBorder="1" applyFont="1" applyNumberFormat="1">
      <alignment horizontal="right"/>
    </xf>
    <xf borderId="41" fillId="2" fontId="1" numFmtId="10" xfId="0" applyBorder="1" applyFont="1" applyNumberFormat="1"/>
    <xf borderId="18" fillId="0" fontId="1" numFmtId="0" xfId="0" applyAlignment="1" applyBorder="1" applyFont="1">
      <alignment horizontal="center"/>
    </xf>
    <xf borderId="19" fillId="0" fontId="1" numFmtId="0" xfId="0" applyAlignment="1" applyBorder="1" applyFont="1">
      <alignment horizontal="center"/>
    </xf>
    <xf borderId="20" fillId="0" fontId="1" numFmtId="166" xfId="0" applyBorder="1" applyFont="1" applyNumberFormat="1"/>
    <xf borderId="28" fillId="2" fontId="1" numFmtId="0" xfId="0" applyAlignment="1" applyBorder="1" applyFont="1">
      <alignment horizontal="center"/>
    </xf>
    <xf borderId="40" fillId="2" fontId="12" numFmtId="0" xfId="0" applyAlignment="1" applyBorder="1" applyFont="1">
      <alignment horizontal="center"/>
    </xf>
    <xf borderId="44" fillId="2" fontId="12" numFmtId="0" xfId="0" applyBorder="1" applyFont="1"/>
    <xf borderId="43" fillId="2" fontId="12" numFmtId="0" xfId="0" applyBorder="1" applyFont="1"/>
    <xf borderId="43" fillId="2" fontId="1" numFmtId="164" xfId="0" applyBorder="1" applyFont="1" applyNumberFormat="1"/>
    <xf borderId="43" fillId="2" fontId="1" numFmtId="0" xfId="0" applyAlignment="1" applyBorder="1" applyFont="1">
      <alignment horizontal="center"/>
    </xf>
    <xf borderId="43" fillId="2" fontId="1" numFmtId="10" xfId="0" applyAlignment="1" applyBorder="1" applyFont="1" applyNumberFormat="1">
      <alignment horizontal="center"/>
    </xf>
    <xf borderId="45" fillId="2" fontId="1" numFmtId="164" xfId="0" applyBorder="1" applyFont="1" applyNumberFormat="1"/>
    <xf borderId="46" fillId="2" fontId="1" numFmtId="1" xfId="0" applyAlignment="1" applyBorder="1" applyFont="1" applyNumberFormat="1">
      <alignment horizontal="center"/>
    </xf>
    <xf borderId="28" fillId="2" fontId="1" numFmtId="2" xfId="0" applyAlignment="1" applyBorder="1" applyFont="1" applyNumberFormat="1">
      <alignment horizontal="center"/>
    </xf>
    <xf borderId="43" fillId="2" fontId="1" numFmtId="10" xfId="0" applyBorder="1" applyFont="1" applyNumberFormat="1"/>
    <xf borderId="45" fillId="2" fontId="1" numFmtId="10" xfId="0" applyBorder="1" applyFont="1" applyNumberFormat="1"/>
    <xf borderId="47" fillId="2" fontId="12" numFmtId="0" xfId="0" applyBorder="1" applyFont="1"/>
    <xf borderId="38" fillId="2" fontId="12" numFmtId="0" xfId="0" applyBorder="1" applyFont="1"/>
    <xf borderId="38" fillId="2" fontId="1" numFmtId="164" xfId="0" applyBorder="1" applyFont="1" applyNumberFormat="1"/>
    <xf borderId="38" fillId="2" fontId="1" numFmtId="0" xfId="0" applyAlignment="1" applyBorder="1" applyFont="1">
      <alignment horizontal="center"/>
    </xf>
    <xf borderId="38" fillId="2" fontId="1" numFmtId="10" xfId="0" applyAlignment="1" applyBorder="1" applyFont="1" applyNumberFormat="1">
      <alignment horizontal="center"/>
    </xf>
    <xf borderId="48" fillId="2" fontId="1" numFmtId="164" xfId="0" applyBorder="1" applyFont="1" applyNumberFormat="1"/>
    <xf borderId="49" fillId="2" fontId="1" numFmtId="1" xfId="0" applyAlignment="1" applyBorder="1" applyFont="1" applyNumberFormat="1">
      <alignment horizontal="center"/>
    </xf>
    <xf borderId="38" fillId="2" fontId="1" numFmtId="2" xfId="0" applyAlignment="1" applyBorder="1" applyFont="1" applyNumberFormat="1">
      <alignment horizontal="center"/>
    </xf>
    <xf borderId="38" fillId="2" fontId="1" numFmtId="10" xfId="0" applyBorder="1" applyFont="1" applyNumberFormat="1"/>
    <xf borderId="48" fillId="2" fontId="1" numFmtId="10" xfId="0" applyBorder="1" applyFont="1" applyNumberFormat="1"/>
    <xf borderId="16" fillId="3" fontId="1" numFmtId="0" xfId="0" applyBorder="1" applyFont="1"/>
    <xf borderId="0" fillId="3" fontId="1" numFmtId="0" xfId="0" applyAlignment="1" applyFont="1">
      <alignment readingOrder="0"/>
    </xf>
    <xf borderId="0" fillId="3" fontId="1" numFmtId="0" xfId="0" applyAlignment="1" applyFont="1">
      <alignment horizontal="center"/>
    </xf>
    <xf borderId="0" fillId="3" fontId="1" numFmtId="0" xfId="0" applyFont="1"/>
    <xf borderId="17" fillId="3" fontId="12" numFmtId="0" xfId="0" applyBorder="1" applyFont="1"/>
    <xf borderId="28" fillId="2" fontId="1" numFmtId="0" xfId="0" applyAlignment="1" applyBorder="1" applyFont="1">
      <alignment horizontal="left"/>
    </xf>
    <xf borderId="28" fillId="2" fontId="1" numFmtId="0" xfId="0" applyAlignment="1" applyBorder="1" applyFont="1">
      <alignment horizontal="right"/>
    </xf>
    <xf borderId="28" fillId="2" fontId="1" numFmtId="166" xfId="0" applyBorder="1" applyFont="1" applyNumberFormat="1"/>
    <xf borderId="4" fillId="2" fontId="1" numFmtId="166" xfId="0" applyBorder="1" applyFont="1" applyNumberFormat="1"/>
    <xf borderId="28" fillId="2" fontId="1" numFmtId="10" xfId="0" applyAlignment="1" applyBorder="1" applyFont="1" applyNumberFormat="1">
      <alignment horizontal="right"/>
    </xf>
    <xf borderId="4" fillId="2" fontId="1" numFmtId="0" xfId="0" applyAlignment="1" applyBorder="1" applyFont="1">
      <alignment horizontal="center"/>
    </xf>
    <xf borderId="50" fillId="2" fontId="1" numFmtId="0" xfId="0" applyAlignment="1" applyBorder="1" applyFont="1">
      <alignment horizontal="center"/>
    </xf>
    <xf borderId="47" fillId="2" fontId="1" numFmtId="0" xfId="0" applyAlignment="1" applyBorder="1" applyFont="1">
      <alignment horizontal="center"/>
    </xf>
    <xf borderId="38" fillId="2" fontId="1" numFmtId="0" xfId="0" applyBorder="1" applyFont="1"/>
    <xf borderId="51" fillId="3" fontId="1" numFmtId="0" xfId="0" applyBorder="1" applyFont="1"/>
    <xf borderId="1" fillId="3" fontId="1" numFmtId="0" xfId="0" applyBorder="1" applyFont="1"/>
    <xf borderId="1" fillId="3" fontId="1" numFmtId="0" xfId="0" applyAlignment="1" applyBorder="1" applyFont="1">
      <alignment horizontal="center"/>
    </xf>
    <xf borderId="52" fillId="3" fontId="12" numFmtId="0" xfId="0" applyBorder="1" applyFont="1"/>
    <xf borderId="38" fillId="2" fontId="1" numFmtId="0" xfId="0" applyAlignment="1" applyBorder="1" applyFont="1">
      <alignment horizontal="left"/>
    </xf>
    <xf borderId="38" fillId="2" fontId="1" numFmtId="0" xfId="0" applyAlignment="1" applyBorder="1" applyFont="1">
      <alignment horizontal="right"/>
    </xf>
    <xf borderId="38" fillId="2" fontId="1" numFmtId="166" xfId="0" applyBorder="1" applyFont="1" applyNumberFormat="1"/>
    <xf borderId="48" fillId="2" fontId="1" numFmtId="166" xfId="0" applyBorder="1" applyFont="1" applyNumberFormat="1"/>
    <xf borderId="38" fillId="2" fontId="1" numFmtId="10" xfId="0" applyAlignment="1" applyBorder="1" applyFont="1" applyNumberFormat="1">
      <alignment horizontal="right"/>
    </xf>
    <xf borderId="48" fillId="2" fontId="1" numFmtId="0" xfId="0" applyAlignment="1" applyBorder="1" applyFont="1">
      <alignment horizontal="center"/>
    </xf>
    <xf borderId="3" fillId="2" fontId="1" numFmtId="0" xfId="0" applyAlignment="1" applyBorder="1" applyFont="1">
      <alignment horizontal="center"/>
    </xf>
    <xf borderId="0" fillId="0" fontId="1" numFmtId="171" xfId="0" applyFont="1" applyNumberFormat="1"/>
    <xf borderId="0" fillId="0" fontId="4" numFmtId="0" xfId="0" applyFont="1"/>
    <xf borderId="0" fillId="0" fontId="18" numFmtId="0" xfId="0" applyFont="1"/>
    <xf borderId="0" fillId="0" fontId="18" numFmtId="0" xfId="0" applyAlignment="1" applyFont="1">
      <alignment horizontal="center"/>
    </xf>
    <xf borderId="0" fillId="0" fontId="5" numFmtId="170" xfId="0" applyFont="1" applyNumberFormat="1"/>
    <xf borderId="0" fillId="0" fontId="19" numFmtId="0" xfId="0" applyFont="1"/>
    <xf borderId="0" fillId="0" fontId="19" numFmtId="0" xfId="0" applyAlignment="1" applyFont="1">
      <alignment horizontal="center"/>
    </xf>
    <xf borderId="0" fillId="0" fontId="1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257175</xdr:colOff>
      <xdr:row>0</xdr:row>
      <xdr:rowOff>0</xdr:rowOff>
    </xdr:from>
    <xdr:ext cx="733425" cy="723900"/>
    <xdr:pic>
      <xdr:nvPicPr>
        <xdr:cNvPr id="0" name="image1.jp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3.88"/>
    <col customWidth="1" min="2" max="2" width="14.13"/>
    <col customWidth="1" min="3" max="3" width="15.88"/>
    <col customWidth="1" min="4" max="4" width="15.75"/>
    <col customWidth="1" min="5" max="5" width="23.38"/>
    <col customWidth="1" min="6" max="6" width="17.88"/>
    <col customWidth="1" min="7" max="7" width="11.75"/>
    <col customWidth="1" min="8" max="8" width="13.75"/>
    <col customWidth="1" min="9" max="9" width="16.13"/>
    <col customWidth="1" min="10" max="10" width="19.13"/>
    <col customWidth="1" min="11" max="11" width="17.25"/>
    <col customWidth="1" min="12" max="12" width="20.0"/>
    <col customWidth="1" min="13" max="13" width="16.75"/>
    <col customWidth="1" min="14" max="16" width="16.13"/>
    <col customWidth="1" min="17" max="17" width="12.13"/>
    <col customWidth="1" min="18" max="18" width="20.13"/>
    <col customWidth="1" min="19" max="19" width="6.88"/>
    <col customWidth="1" min="20" max="20" width="4.88"/>
    <col customWidth="1" hidden="1" min="21" max="23" width="15.13"/>
    <col customWidth="1" hidden="1" min="24" max="24" width="14.75"/>
    <col customWidth="1" hidden="1" min="25" max="25" width="15.25"/>
    <col customWidth="1" hidden="1" min="26" max="27" width="13.5"/>
    <col customWidth="1" hidden="1" min="28" max="28" width="7.88"/>
    <col customWidth="1" hidden="1" min="29" max="36" width="16.75"/>
    <col customWidth="1" hidden="1" min="37" max="37" width="4.75"/>
    <col customWidth="1" hidden="1" min="38" max="45" width="16.75"/>
    <col customWidth="1" hidden="1" min="46" max="46" width="3.38"/>
    <col customWidth="1" hidden="1" min="47" max="50" width="16.75"/>
    <col customWidth="1" hidden="1" min="51" max="51" width="4.75"/>
    <col customWidth="1" hidden="1" min="52" max="55" width="16.75"/>
  </cols>
  <sheetData>
    <row r="1" ht="15.75" customHeight="1">
      <c r="A1" s="1"/>
      <c r="B1" s="2"/>
      <c r="C1" s="2" t="s">
        <v>0</v>
      </c>
      <c r="F1" s="3"/>
      <c r="J1" s="4"/>
      <c r="M1" s="5"/>
      <c r="X1" s="6"/>
      <c r="AA1" s="7"/>
      <c r="AC1" s="3"/>
      <c r="AD1" s="3"/>
      <c r="AE1" s="3"/>
      <c r="AF1" s="3"/>
      <c r="AL1" s="3"/>
      <c r="AN1" s="3"/>
      <c r="AO1" s="3"/>
      <c r="AZ1" s="3"/>
    </row>
    <row r="2" ht="15.75" customHeight="1">
      <c r="A2" s="8"/>
      <c r="B2" s="9"/>
      <c r="C2" s="2" t="s">
        <v>1</v>
      </c>
      <c r="D2" s="10"/>
      <c r="E2" s="5"/>
      <c r="F2" s="3"/>
      <c r="G2" s="5"/>
      <c r="H2" s="10"/>
      <c r="I2" s="5"/>
      <c r="J2" s="3"/>
      <c r="K2" s="5"/>
      <c r="L2" s="5"/>
      <c r="M2" s="5"/>
      <c r="N2" s="5"/>
      <c r="O2" s="5"/>
      <c r="P2" s="5"/>
      <c r="Q2" s="5"/>
      <c r="R2" s="5"/>
      <c r="S2" s="5"/>
      <c r="X2" s="6"/>
      <c r="AA2" s="7"/>
      <c r="AC2" s="3"/>
      <c r="AD2" s="3"/>
      <c r="AE2" s="3"/>
      <c r="AF2" s="3"/>
      <c r="AL2" s="3"/>
      <c r="AN2" s="3"/>
      <c r="AO2" s="3"/>
      <c r="AZ2" s="3"/>
    </row>
    <row r="3" ht="15.75" customHeight="1">
      <c r="A3" s="8"/>
      <c r="B3" s="2"/>
      <c r="C3" s="2" t="s">
        <v>2</v>
      </c>
      <c r="D3" s="10"/>
      <c r="E3" s="5"/>
      <c r="F3" s="3"/>
      <c r="G3" s="5"/>
      <c r="H3" s="10"/>
      <c r="I3" s="5"/>
      <c r="J3" s="3"/>
      <c r="K3" s="5"/>
      <c r="L3" s="5"/>
      <c r="M3" s="5"/>
      <c r="N3" s="5"/>
      <c r="O3" s="5"/>
      <c r="P3" s="5"/>
      <c r="Q3" s="5"/>
      <c r="R3" s="5"/>
      <c r="S3" s="5"/>
      <c r="X3" s="6"/>
      <c r="AA3" s="7"/>
      <c r="AC3" s="3"/>
      <c r="AD3" s="3"/>
      <c r="AE3" s="3"/>
      <c r="AF3" s="3"/>
      <c r="AL3" s="3"/>
      <c r="AN3" s="3"/>
      <c r="AO3" s="3"/>
      <c r="AZ3" s="3"/>
    </row>
    <row r="4" ht="22.5" customHeight="1">
      <c r="A4" s="3"/>
      <c r="B4" s="11"/>
      <c r="C4" s="11"/>
      <c r="D4" s="11"/>
      <c r="E4" s="11"/>
      <c r="F4" s="12"/>
      <c r="G4" s="11"/>
      <c r="H4" s="11"/>
      <c r="I4" s="11"/>
      <c r="J4" s="12"/>
      <c r="K4" s="11"/>
      <c r="L4" s="11"/>
      <c r="M4" s="11"/>
      <c r="N4" s="11"/>
      <c r="O4" s="11"/>
      <c r="P4" s="11"/>
      <c r="Q4" s="11"/>
      <c r="R4" s="11"/>
      <c r="S4" s="11"/>
      <c r="X4" s="6"/>
      <c r="AA4" s="7"/>
      <c r="AC4" s="3"/>
      <c r="AD4" s="3"/>
      <c r="AE4" s="3"/>
      <c r="AF4" s="3"/>
      <c r="AL4" s="3"/>
      <c r="AN4" s="3"/>
      <c r="AO4" s="3"/>
      <c r="AZ4" s="3"/>
    </row>
    <row r="5" ht="84.0" customHeight="1">
      <c r="A5" s="13"/>
      <c r="B5" s="14" t="s">
        <v>3</v>
      </c>
      <c r="C5" s="15" t="s">
        <v>4</v>
      </c>
      <c r="D5" s="14" t="s">
        <v>5</v>
      </c>
      <c r="E5" s="14" t="s">
        <v>6</v>
      </c>
      <c r="F5" s="14" t="s">
        <v>7</v>
      </c>
      <c r="G5" s="14" t="s">
        <v>8</v>
      </c>
      <c r="H5" s="14" t="s">
        <v>9</v>
      </c>
      <c r="I5" s="14" t="s">
        <v>10</v>
      </c>
      <c r="J5" s="14" t="s">
        <v>11</v>
      </c>
      <c r="K5" s="14" t="s">
        <v>12</v>
      </c>
      <c r="L5" s="14" t="s">
        <v>13</v>
      </c>
      <c r="M5" s="14" t="s">
        <v>14</v>
      </c>
      <c r="N5" s="16" t="s">
        <v>15</v>
      </c>
      <c r="O5" s="14" t="s">
        <v>16</v>
      </c>
      <c r="P5" s="14" t="s">
        <v>17</v>
      </c>
      <c r="Q5" s="14" t="s">
        <v>18</v>
      </c>
      <c r="R5" s="14" t="s">
        <v>19</v>
      </c>
      <c r="S5" s="17"/>
      <c r="U5" s="18" t="s">
        <v>20</v>
      </c>
      <c r="V5" s="18" t="s">
        <v>21</v>
      </c>
      <c r="W5" s="18" t="s">
        <v>22</v>
      </c>
      <c r="X5" s="19" t="s">
        <v>23</v>
      </c>
      <c r="Y5" s="18" t="s">
        <v>24</v>
      </c>
      <c r="Z5" s="18" t="s">
        <v>25</v>
      </c>
      <c r="AA5" s="18" t="s">
        <v>26</v>
      </c>
      <c r="AC5" s="20" t="s">
        <v>27</v>
      </c>
      <c r="AD5" s="20" t="s">
        <v>28</v>
      </c>
      <c r="AE5" s="20" t="s">
        <v>29</v>
      </c>
      <c r="AF5" s="20" t="s">
        <v>30</v>
      </c>
      <c r="AG5" s="20" t="s">
        <v>31</v>
      </c>
      <c r="AH5" s="20" t="s">
        <v>32</v>
      </c>
      <c r="AI5" s="20" t="s">
        <v>33</v>
      </c>
      <c r="AJ5" s="20" t="s">
        <v>34</v>
      </c>
      <c r="AK5" s="21"/>
      <c r="AL5" s="20" t="s">
        <v>35</v>
      </c>
      <c r="AM5" s="20" t="s">
        <v>28</v>
      </c>
      <c r="AN5" s="20" t="s">
        <v>36</v>
      </c>
      <c r="AO5" s="20" t="s">
        <v>30</v>
      </c>
      <c r="AP5" s="20" t="s">
        <v>31</v>
      </c>
      <c r="AQ5" s="20" t="s">
        <v>32</v>
      </c>
      <c r="AR5" s="20" t="s">
        <v>33</v>
      </c>
      <c r="AS5" s="20" t="s">
        <v>34</v>
      </c>
      <c r="AU5" s="22"/>
      <c r="AV5" s="23"/>
      <c r="AW5" s="23"/>
      <c r="AX5" s="24"/>
      <c r="AZ5" s="16" t="s">
        <v>37</v>
      </c>
    </row>
    <row r="6" ht="12.75" customHeight="1">
      <c r="A6" s="25"/>
      <c r="B6" s="26" t="s">
        <v>38</v>
      </c>
      <c r="C6" s="27"/>
      <c r="D6" s="28">
        <v>14741.64</v>
      </c>
      <c r="E6" s="29" t="s">
        <v>39</v>
      </c>
      <c r="F6" s="30">
        <v>38348.0</v>
      </c>
      <c r="G6" s="31" t="s">
        <v>40</v>
      </c>
      <c r="H6" s="30">
        <v>38460.0</v>
      </c>
      <c r="I6" s="32">
        <f t="shared" ref="I6:I431" si="1">IF(H6="Active",0,(IF(H6="N/A","N/A",(H6-F6)/30)))</f>
        <v>3.733333333</v>
      </c>
      <c r="J6" s="33" t="s">
        <v>41</v>
      </c>
      <c r="K6" s="34">
        <v>14400.0</v>
      </c>
      <c r="L6" s="35">
        <v>439.37</v>
      </c>
      <c r="M6" s="35">
        <v>0.0</v>
      </c>
      <c r="N6" s="35">
        <v>14.54</v>
      </c>
      <c r="O6" s="35">
        <f t="shared" ref="O6:O26" si="2">IF(K6="N/A",0,IF(K6-D6&gt;0,0,D6-K6))</f>
        <v>341.64</v>
      </c>
      <c r="P6" s="35">
        <f t="shared" ref="P6:P396" si="3">IF(K6="N/A",0,IF(K6-D6-L6-M6-N6&gt;0,0,(K6-D6-L6-M6-N6)*-1))</f>
        <v>795.55</v>
      </c>
      <c r="Q6" s="36">
        <f t="shared" ref="Q6:Q431" si="4">IF(I6="N/A","N/A",P6/D6)</f>
        <v>0.05396618015</v>
      </c>
      <c r="R6" s="36">
        <f t="shared" ref="R6:R431" si="5">IF(Q6="N/A","N/A",MAX(0,1-Q6))</f>
        <v>0.9460338198</v>
      </c>
      <c r="S6" s="37"/>
      <c r="T6" s="5"/>
      <c r="U6" s="38"/>
      <c r="V6" s="39"/>
      <c r="W6" s="39"/>
      <c r="X6" s="40"/>
      <c r="Y6" s="39"/>
      <c r="Z6" s="39"/>
      <c r="AA6" s="41"/>
      <c r="AB6" s="5"/>
      <c r="AC6" s="42">
        <f t="shared" ref="AC6:AC432" si="6">IF(E6="Legal Foreclosure",1,0)</f>
        <v>0</v>
      </c>
      <c r="AD6" s="3">
        <f t="shared" ref="AD6:AD432" si="7">IF(H6="N/A",0,1)</f>
        <v>1</v>
      </c>
      <c r="AE6" s="3">
        <f t="shared" ref="AE6:AE432" si="8">AC6*AD6</f>
        <v>0</v>
      </c>
      <c r="AF6" s="43">
        <f t="shared" ref="AF6:AF432" si="9">(M6+N6)*AE6</f>
        <v>0</v>
      </c>
      <c r="AG6" s="44">
        <f t="shared" ref="AG6:AG432" si="10">D6*AE6</f>
        <v>0</v>
      </c>
      <c r="AH6" s="45">
        <f t="shared" ref="AH6:AH432" si="11">IF(AE6=1,I6,0)</f>
        <v>0</v>
      </c>
      <c r="AI6" s="46">
        <f t="shared" ref="AI6:AI432" si="12">AG6/$AG$436*AE6</f>
        <v>0</v>
      </c>
      <c r="AJ6" s="47">
        <f t="shared" ref="AJ6:AJ432" si="13">IF(AE6=0,0,Q6*AI6)</f>
        <v>0</v>
      </c>
      <c r="AK6" s="5"/>
      <c r="AL6" s="42">
        <f t="shared" ref="AL6:AL432" si="14">IF(E6="Deed in Lieu",1,0)</f>
        <v>1</v>
      </c>
      <c r="AM6" s="3">
        <f t="shared" ref="AM6:AM432" si="15">IF(H6="N/A",0,1)</f>
        <v>1</v>
      </c>
      <c r="AN6" s="3">
        <f t="shared" ref="AN6:AN432" si="16">AL6*AM6</f>
        <v>1</v>
      </c>
      <c r="AO6" s="3">
        <f t="shared" ref="AO6:AO432" si="17">(M6+N6)*AN6</f>
        <v>14.54</v>
      </c>
      <c r="AP6" s="44">
        <f t="shared" ref="AP6:AP432" si="18">D6*AN6</f>
        <v>14741.64</v>
      </c>
      <c r="AQ6" s="48">
        <f t="shared" ref="AQ6:AQ432" si="19">IF(AN6=1,I6,0)</f>
        <v>3.733333333</v>
      </c>
      <c r="AR6" s="46">
        <f t="shared" ref="AR6:AR432" si="20">AP6/$AP$436*AN6</f>
        <v>0.002586003359</v>
      </c>
      <c r="AS6" s="47">
        <f t="shared" ref="AS6:AS432" si="21">IF(AN6=0,0,Q6*AR6)</f>
        <v>0.0001395567231</v>
      </c>
      <c r="AT6" s="5"/>
      <c r="AU6" s="49">
        <f>AG6+AP6</f>
        <v>14741.64</v>
      </c>
      <c r="AV6" s="50">
        <f t="shared" ref="AV6:AV432" si="23">AE6+AN6</f>
        <v>1</v>
      </c>
      <c r="AW6" s="51">
        <f t="shared" ref="AW6:AW432" si="24">AU6/$AU$436</f>
        <v>0.001430280883</v>
      </c>
      <c r="AX6" s="52">
        <f t="shared" ref="AX6:AX432" si="25">IF(AV6=0,0,Q6*AW6)</f>
        <v>0.00007718679579</v>
      </c>
      <c r="AY6" s="5"/>
      <c r="AZ6" s="53">
        <f t="shared" ref="AZ6:AZ432" si="26">IF(D6&gt;1,1,0)</f>
        <v>1</v>
      </c>
      <c r="BA6" s="5"/>
      <c r="BB6" s="5"/>
      <c r="BC6" s="5"/>
    </row>
    <row r="7" ht="12.75" customHeight="1">
      <c r="A7" s="25"/>
      <c r="B7" s="27" t="s">
        <v>42</v>
      </c>
      <c r="C7" s="27"/>
      <c r="D7" s="28">
        <v>13502.98</v>
      </c>
      <c r="E7" s="29" t="s">
        <v>39</v>
      </c>
      <c r="F7" s="30">
        <v>38791.0</v>
      </c>
      <c r="G7" s="31" t="s">
        <v>40</v>
      </c>
      <c r="H7" s="30">
        <v>38807.0</v>
      </c>
      <c r="I7" s="32">
        <f t="shared" si="1"/>
        <v>0.5333333333</v>
      </c>
      <c r="J7" s="33" t="s">
        <v>43</v>
      </c>
      <c r="K7" s="34">
        <v>13800.0</v>
      </c>
      <c r="L7" s="35">
        <f>5.69+1.26+11.87+4.68+13+1.85+279.95</f>
        <v>318.3</v>
      </c>
      <c r="M7" s="35">
        <v>0.0</v>
      </c>
      <c r="N7" s="35">
        <v>137.34</v>
      </c>
      <c r="O7" s="35">
        <f t="shared" si="2"/>
        <v>0</v>
      </c>
      <c r="P7" s="35">
        <f t="shared" si="3"/>
        <v>158.62</v>
      </c>
      <c r="Q7" s="36">
        <f t="shared" si="4"/>
        <v>0.01174703658</v>
      </c>
      <c r="R7" s="36">
        <f t="shared" si="5"/>
        <v>0.9882529634</v>
      </c>
      <c r="S7" s="37"/>
      <c r="T7" s="5"/>
      <c r="U7" s="54"/>
      <c r="V7" s="55"/>
      <c r="W7" s="55"/>
      <c r="X7" s="56"/>
      <c r="Y7" s="55"/>
      <c r="Z7" s="55"/>
      <c r="AA7" s="57"/>
      <c r="AB7" s="5"/>
      <c r="AC7" s="42">
        <f t="shared" si="6"/>
        <v>0</v>
      </c>
      <c r="AD7" s="3">
        <f t="shared" si="7"/>
        <v>1</v>
      </c>
      <c r="AE7" s="3">
        <f t="shared" si="8"/>
        <v>0</v>
      </c>
      <c r="AF7" s="43">
        <f t="shared" si="9"/>
        <v>0</v>
      </c>
      <c r="AG7" s="44">
        <f t="shared" si="10"/>
        <v>0</v>
      </c>
      <c r="AH7" s="45">
        <f t="shared" si="11"/>
        <v>0</v>
      </c>
      <c r="AI7" s="46">
        <f t="shared" si="12"/>
        <v>0</v>
      </c>
      <c r="AJ7" s="47">
        <f t="shared" si="13"/>
        <v>0</v>
      </c>
      <c r="AK7" s="5">
        <f>IF(E7="Deed in Lieu",1,0)</f>
        <v>1</v>
      </c>
      <c r="AL7" s="42">
        <f t="shared" si="14"/>
        <v>1</v>
      </c>
      <c r="AM7" s="3">
        <f t="shared" si="15"/>
        <v>1</v>
      </c>
      <c r="AN7" s="3">
        <f t="shared" si="16"/>
        <v>1</v>
      </c>
      <c r="AO7" s="3">
        <f t="shared" si="17"/>
        <v>137.34</v>
      </c>
      <c r="AP7" s="44">
        <f t="shared" si="18"/>
        <v>13502.98</v>
      </c>
      <c r="AQ7" s="48">
        <f t="shared" si="19"/>
        <v>0.5333333333</v>
      </c>
      <c r="AR7" s="46">
        <f t="shared" si="20"/>
        <v>0.002368715532</v>
      </c>
      <c r="AS7" s="47">
        <f t="shared" si="21"/>
        <v>0.000027825388</v>
      </c>
      <c r="AT7" s="58">
        <f t="shared" ref="AT7:AU7" si="22">AF7+AO7</f>
        <v>137.34</v>
      </c>
      <c r="AU7" s="49">
        <f t="shared" si="22"/>
        <v>13502.98</v>
      </c>
      <c r="AV7" s="50">
        <f t="shared" si="23"/>
        <v>1</v>
      </c>
      <c r="AW7" s="51">
        <f t="shared" si="24"/>
        <v>0.001310102143</v>
      </c>
      <c r="AX7" s="52">
        <f t="shared" si="25"/>
        <v>0.0000153898178</v>
      </c>
      <c r="AY7" s="5">
        <f>IF(D7&gt;1,1,0)</f>
        <v>1</v>
      </c>
      <c r="AZ7" s="53">
        <f t="shared" si="26"/>
        <v>1</v>
      </c>
      <c r="BA7" s="5"/>
      <c r="BB7" s="5"/>
      <c r="BC7" s="5"/>
    </row>
    <row r="8" ht="12.75" customHeight="1">
      <c r="A8" s="25"/>
      <c r="B8" s="27" t="s">
        <v>44</v>
      </c>
      <c r="C8" s="27"/>
      <c r="D8" s="28">
        <v>11417.41</v>
      </c>
      <c r="E8" s="29" t="s">
        <v>39</v>
      </c>
      <c r="F8" s="30">
        <v>38794.0</v>
      </c>
      <c r="G8" s="31" t="s">
        <v>40</v>
      </c>
      <c r="H8" s="30">
        <v>38807.0</v>
      </c>
      <c r="I8" s="32">
        <f t="shared" si="1"/>
        <v>0.4333333333</v>
      </c>
      <c r="J8" s="33" t="s">
        <v>45</v>
      </c>
      <c r="K8" s="34">
        <v>12000.0</v>
      </c>
      <c r="L8" s="35">
        <f>28.32+6.3+29.22+17.4+78+10.98+450.43</f>
        <v>620.65</v>
      </c>
      <c r="M8" s="35">
        <v>0.0</v>
      </c>
      <c r="N8" s="35">
        <v>583.78</v>
      </c>
      <c r="O8" s="35">
        <f t="shared" si="2"/>
        <v>0</v>
      </c>
      <c r="P8" s="35">
        <f t="shared" si="3"/>
        <v>621.84</v>
      </c>
      <c r="Q8" s="36">
        <f t="shared" si="4"/>
        <v>0.05446419109</v>
      </c>
      <c r="R8" s="36">
        <f t="shared" si="5"/>
        <v>0.9455358089</v>
      </c>
      <c r="S8" s="37"/>
      <c r="T8" s="5"/>
      <c r="U8" s="54"/>
      <c r="V8" s="55"/>
      <c r="W8" s="55"/>
      <c r="X8" s="56"/>
      <c r="Y8" s="55"/>
      <c r="Z8" s="55"/>
      <c r="AA8" s="57"/>
      <c r="AB8" s="5"/>
      <c r="AC8" s="42">
        <f t="shared" si="6"/>
        <v>0</v>
      </c>
      <c r="AD8" s="3">
        <f t="shared" si="7"/>
        <v>1</v>
      </c>
      <c r="AE8" s="3">
        <f t="shared" si="8"/>
        <v>0</v>
      </c>
      <c r="AF8" s="43">
        <f t="shared" si="9"/>
        <v>0</v>
      </c>
      <c r="AG8" s="44">
        <f t="shared" si="10"/>
        <v>0</v>
      </c>
      <c r="AH8" s="45">
        <f t="shared" si="11"/>
        <v>0</v>
      </c>
      <c r="AI8" s="46">
        <f t="shared" si="12"/>
        <v>0</v>
      </c>
      <c r="AJ8" s="47">
        <f t="shared" si="13"/>
        <v>0</v>
      </c>
      <c r="AK8" s="5"/>
      <c r="AL8" s="42">
        <f t="shared" si="14"/>
        <v>1</v>
      </c>
      <c r="AM8" s="3">
        <f t="shared" si="15"/>
        <v>1</v>
      </c>
      <c r="AN8" s="3">
        <f t="shared" si="16"/>
        <v>1</v>
      </c>
      <c r="AO8" s="3">
        <f t="shared" si="17"/>
        <v>583.78</v>
      </c>
      <c r="AP8" s="44">
        <f t="shared" si="18"/>
        <v>11417.41</v>
      </c>
      <c r="AQ8" s="48">
        <f t="shared" si="19"/>
        <v>0.4333333333</v>
      </c>
      <c r="AR8" s="46">
        <f t="shared" si="20"/>
        <v>0.002002861324</v>
      </c>
      <c r="AS8" s="47">
        <f t="shared" si="21"/>
        <v>0.0001090842219</v>
      </c>
      <c r="AT8" s="5"/>
      <c r="AU8" s="49">
        <f t="shared" ref="AU8:AU432" si="27">AG8+AP8</f>
        <v>11417.41</v>
      </c>
      <c r="AV8" s="50">
        <f t="shared" si="23"/>
        <v>1</v>
      </c>
      <c r="AW8" s="51">
        <f t="shared" si="24"/>
        <v>0.001107753497</v>
      </c>
      <c r="AX8" s="52">
        <f t="shared" si="25"/>
        <v>0.00006033289812</v>
      </c>
      <c r="AY8" s="5"/>
      <c r="AZ8" s="53">
        <f t="shared" si="26"/>
        <v>1</v>
      </c>
      <c r="BA8" s="5"/>
      <c r="BB8" s="5"/>
      <c r="BC8" s="5"/>
    </row>
    <row r="9" ht="12.75" customHeight="1">
      <c r="A9" s="25"/>
      <c r="B9" s="27" t="s">
        <v>46</v>
      </c>
      <c r="C9" s="27"/>
      <c r="D9" s="28">
        <v>38630.0</v>
      </c>
      <c r="E9" s="29" t="s">
        <v>39</v>
      </c>
      <c r="F9" s="30">
        <v>38842.0</v>
      </c>
      <c r="G9" s="59" t="s">
        <v>40</v>
      </c>
      <c r="H9" s="30">
        <v>38930.0</v>
      </c>
      <c r="I9" s="32">
        <f t="shared" si="1"/>
        <v>2.933333333</v>
      </c>
      <c r="J9" s="33" t="s">
        <v>47</v>
      </c>
      <c r="K9" s="34">
        <v>38630.0</v>
      </c>
      <c r="L9" s="35">
        <f>54.69+12.09+45.09+27.06+39+6.63+1045.63</f>
        <v>1230.19</v>
      </c>
      <c r="M9" s="35">
        <v>0.0</v>
      </c>
      <c r="N9" s="35">
        <v>205.0</v>
      </c>
      <c r="O9" s="35">
        <f t="shared" si="2"/>
        <v>0</v>
      </c>
      <c r="P9" s="35">
        <f t="shared" si="3"/>
        <v>1435.19</v>
      </c>
      <c r="Q9" s="36">
        <f t="shared" si="4"/>
        <v>0.03715221331</v>
      </c>
      <c r="R9" s="36">
        <f t="shared" si="5"/>
        <v>0.9628477867</v>
      </c>
      <c r="S9" s="37"/>
      <c r="T9" s="5"/>
      <c r="U9" s="54"/>
      <c r="V9" s="55"/>
      <c r="W9" s="55"/>
      <c r="X9" s="56"/>
      <c r="Y9" s="55"/>
      <c r="Z9" s="55"/>
      <c r="AA9" s="57"/>
      <c r="AB9" s="5"/>
      <c r="AC9" s="42">
        <f t="shared" si="6"/>
        <v>0</v>
      </c>
      <c r="AD9" s="3">
        <f t="shared" si="7"/>
        <v>1</v>
      </c>
      <c r="AE9" s="3">
        <f t="shared" si="8"/>
        <v>0</v>
      </c>
      <c r="AF9" s="43">
        <f t="shared" si="9"/>
        <v>0</v>
      </c>
      <c r="AG9" s="44">
        <f t="shared" si="10"/>
        <v>0</v>
      </c>
      <c r="AH9" s="45">
        <f t="shared" si="11"/>
        <v>0</v>
      </c>
      <c r="AI9" s="46">
        <f t="shared" si="12"/>
        <v>0</v>
      </c>
      <c r="AJ9" s="47">
        <f t="shared" si="13"/>
        <v>0</v>
      </c>
      <c r="AK9" s="5"/>
      <c r="AL9" s="42">
        <f t="shared" si="14"/>
        <v>1</v>
      </c>
      <c r="AM9" s="3">
        <f t="shared" si="15"/>
        <v>1</v>
      </c>
      <c r="AN9" s="3">
        <f t="shared" si="16"/>
        <v>1</v>
      </c>
      <c r="AO9" s="3">
        <f t="shared" si="17"/>
        <v>205</v>
      </c>
      <c r="AP9" s="44">
        <f t="shared" si="18"/>
        <v>38630</v>
      </c>
      <c r="AQ9" s="48">
        <f t="shared" si="19"/>
        <v>2.933333333</v>
      </c>
      <c r="AR9" s="46">
        <f t="shared" si="20"/>
        <v>0.006776539772</v>
      </c>
      <c r="AS9" s="47">
        <f t="shared" si="21"/>
        <v>0.0002517634511</v>
      </c>
      <c r="AT9" s="5"/>
      <c r="AU9" s="49">
        <f t="shared" si="27"/>
        <v>38630</v>
      </c>
      <c r="AV9" s="50">
        <f t="shared" si="23"/>
        <v>1</v>
      </c>
      <c r="AW9" s="51">
        <f t="shared" si="24"/>
        <v>0.003748005684</v>
      </c>
      <c r="AX9" s="52">
        <f t="shared" si="25"/>
        <v>0.0001392467066</v>
      </c>
      <c r="AY9" s="5"/>
      <c r="AZ9" s="53">
        <f t="shared" si="26"/>
        <v>1</v>
      </c>
      <c r="BA9" s="5"/>
      <c r="BB9" s="5"/>
      <c r="BC9" s="5"/>
    </row>
    <row r="10" ht="12.75" customHeight="1">
      <c r="A10" s="25"/>
      <c r="B10" s="27" t="s">
        <v>48</v>
      </c>
      <c r="C10" s="27"/>
      <c r="D10" s="28">
        <v>12392.03</v>
      </c>
      <c r="E10" s="29" t="s">
        <v>49</v>
      </c>
      <c r="F10" s="30">
        <v>38845.0</v>
      </c>
      <c r="G10" s="59" t="s">
        <v>40</v>
      </c>
      <c r="H10" s="30">
        <v>40026.0</v>
      </c>
      <c r="I10" s="32">
        <f t="shared" si="1"/>
        <v>39.36666667</v>
      </c>
      <c r="J10" s="33" t="s">
        <v>50</v>
      </c>
      <c r="K10" s="34">
        <v>14850.0</v>
      </c>
      <c r="L10" s="35">
        <f>110.7+77.05+299+42.55+2602.92</f>
        <v>3132.22</v>
      </c>
      <c r="M10" s="35">
        <f>1325.08+1557.15+164.82</f>
        <v>3047.05</v>
      </c>
      <c r="N10" s="35">
        <f>150</f>
        <v>150</v>
      </c>
      <c r="O10" s="35">
        <f t="shared" si="2"/>
        <v>0</v>
      </c>
      <c r="P10" s="35">
        <f t="shared" si="3"/>
        <v>3871.3</v>
      </c>
      <c r="Q10" s="36">
        <f t="shared" si="4"/>
        <v>0.312402407</v>
      </c>
      <c r="R10" s="36">
        <f t="shared" si="5"/>
        <v>0.687597593</v>
      </c>
      <c r="S10" s="37"/>
      <c r="T10" s="5"/>
      <c r="U10" s="54"/>
      <c r="V10" s="55"/>
      <c r="W10" s="55"/>
      <c r="X10" s="56"/>
      <c r="Y10" s="55"/>
      <c r="Z10" s="55"/>
      <c r="AA10" s="57"/>
      <c r="AB10" s="5"/>
      <c r="AC10" s="42">
        <f t="shared" si="6"/>
        <v>1</v>
      </c>
      <c r="AD10" s="3">
        <f t="shared" si="7"/>
        <v>1</v>
      </c>
      <c r="AE10" s="3">
        <f t="shared" si="8"/>
        <v>1</v>
      </c>
      <c r="AF10" s="43">
        <f t="shared" si="9"/>
        <v>3197.05</v>
      </c>
      <c r="AG10" s="44">
        <f t="shared" si="10"/>
        <v>12392.03</v>
      </c>
      <c r="AH10" s="45">
        <f t="shared" si="11"/>
        <v>39.36666667</v>
      </c>
      <c r="AI10" s="46">
        <f t="shared" si="12"/>
        <v>0.002681673134</v>
      </c>
      <c r="AJ10" s="47">
        <f t="shared" si="13"/>
        <v>0.0008377611418</v>
      </c>
      <c r="AK10" s="5"/>
      <c r="AL10" s="42">
        <f t="shared" si="14"/>
        <v>0</v>
      </c>
      <c r="AM10" s="3">
        <f t="shared" si="15"/>
        <v>1</v>
      </c>
      <c r="AN10" s="3">
        <f t="shared" si="16"/>
        <v>0</v>
      </c>
      <c r="AO10" s="3">
        <f t="shared" si="17"/>
        <v>0</v>
      </c>
      <c r="AP10" s="44">
        <f t="shared" si="18"/>
        <v>0</v>
      </c>
      <c r="AQ10" s="48">
        <f t="shared" si="19"/>
        <v>0</v>
      </c>
      <c r="AR10" s="46">
        <f t="shared" si="20"/>
        <v>0</v>
      </c>
      <c r="AS10" s="47">
        <f t="shared" si="21"/>
        <v>0</v>
      </c>
      <c r="AT10" s="5"/>
      <c r="AU10" s="49">
        <f t="shared" si="27"/>
        <v>12392.03</v>
      </c>
      <c r="AV10" s="50">
        <f t="shared" si="23"/>
        <v>1</v>
      </c>
      <c r="AW10" s="51">
        <f t="shared" si="24"/>
        <v>0.001202314234</v>
      </c>
      <c r="AX10" s="52">
        <f t="shared" si="25"/>
        <v>0.0003756058608</v>
      </c>
      <c r="AY10" s="5"/>
      <c r="AZ10" s="53">
        <f t="shared" si="26"/>
        <v>1</v>
      </c>
      <c r="BA10" s="5"/>
      <c r="BB10" s="5"/>
      <c r="BC10" s="5"/>
    </row>
    <row r="11" ht="12.75" customHeight="1">
      <c r="A11" s="25"/>
      <c r="B11" s="27" t="s">
        <v>51</v>
      </c>
      <c r="C11" s="27"/>
      <c r="D11" s="28">
        <v>14886.0</v>
      </c>
      <c r="E11" s="29" t="s">
        <v>39</v>
      </c>
      <c r="F11" s="30">
        <v>38846.0</v>
      </c>
      <c r="G11" s="31" t="s">
        <v>40</v>
      </c>
      <c r="H11" s="30">
        <v>39189.0</v>
      </c>
      <c r="I11" s="32">
        <f t="shared" si="1"/>
        <v>11.43333333</v>
      </c>
      <c r="J11" s="60" t="s">
        <v>52</v>
      </c>
      <c r="K11" s="34">
        <v>13635.0</v>
      </c>
      <c r="L11" s="35">
        <v>1508.11</v>
      </c>
      <c r="M11" s="35">
        <v>0.0</v>
      </c>
      <c r="N11" s="35">
        <v>0.0</v>
      </c>
      <c r="O11" s="35">
        <f t="shared" si="2"/>
        <v>1251</v>
      </c>
      <c r="P11" s="35">
        <f t="shared" si="3"/>
        <v>2759.11</v>
      </c>
      <c r="Q11" s="36">
        <f t="shared" si="4"/>
        <v>0.1853493215</v>
      </c>
      <c r="R11" s="36">
        <f t="shared" si="5"/>
        <v>0.8146506785</v>
      </c>
      <c r="S11" s="37"/>
      <c r="T11" s="5"/>
      <c r="U11" s="54"/>
      <c r="V11" s="55"/>
      <c r="W11" s="55"/>
      <c r="X11" s="56"/>
      <c r="Y11" s="55"/>
      <c r="Z11" s="55"/>
      <c r="AA11" s="57"/>
      <c r="AB11" s="5"/>
      <c r="AC11" s="42">
        <f t="shared" si="6"/>
        <v>0</v>
      </c>
      <c r="AD11" s="3">
        <f t="shared" si="7"/>
        <v>1</v>
      </c>
      <c r="AE11" s="3">
        <f t="shared" si="8"/>
        <v>0</v>
      </c>
      <c r="AF11" s="43">
        <f t="shared" si="9"/>
        <v>0</v>
      </c>
      <c r="AG11" s="44">
        <f t="shared" si="10"/>
        <v>0</v>
      </c>
      <c r="AH11" s="45">
        <f t="shared" si="11"/>
        <v>0</v>
      </c>
      <c r="AI11" s="46">
        <f t="shared" si="12"/>
        <v>0</v>
      </c>
      <c r="AJ11" s="47">
        <f t="shared" si="13"/>
        <v>0</v>
      </c>
      <c r="AK11" s="5"/>
      <c r="AL11" s="42">
        <f t="shared" si="14"/>
        <v>1</v>
      </c>
      <c r="AM11" s="3">
        <f t="shared" si="15"/>
        <v>1</v>
      </c>
      <c r="AN11" s="3">
        <f t="shared" si="16"/>
        <v>1</v>
      </c>
      <c r="AO11" s="3">
        <f t="shared" si="17"/>
        <v>0</v>
      </c>
      <c r="AP11" s="44">
        <f t="shared" si="18"/>
        <v>14886</v>
      </c>
      <c r="AQ11" s="48">
        <f t="shared" si="19"/>
        <v>11.43333333</v>
      </c>
      <c r="AR11" s="46">
        <f t="shared" si="20"/>
        <v>0.002611327234</v>
      </c>
      <c r="AS11" s="47">
        <f t="shared" si="21"/>
        <v>0.000484007731</v>
      </c>
      <c r="AT11" s="5"/>
      <c r="AU11" s="49">
        <f t="shared" si="27"/>
        <v>14886</v>
      </c>
      <c r="AV11" s="50">
        <f t="shared" si="23"/>
        <v>1</v>
      </c>
      <c r="AW11" s="51">
        <f t="shared" si="24"/>
        <v>0.00144428715</v>
      </c>
      <c r="AX11" s="52">
        <f t="shared" si="25"/>
        <v>0.0002676976433</v>
      </c>
      <c r="AY11" s="5"/>
      <c r="AZ11" s="53">
        <f t="shared" si="26"/>
        <v>1</v>
      </c>
      <c r="BA11" s="5"/>
      <c r="BB11" s="5"/>
      <c r="BC11" s="5"/>
    </row>
    <row r="12" ht="12.75" customHeight="1">
      <c r="A12" s="25"/>
      <c r="B12" s="27" t="s">
        <v>53</v>
      </c>
      <c r="C12" s="27"/>
      <c r="D12" s="28">
        <v>14016.47</v>
      </c>
      <c r="E12" s="29" t="s">
        <v>39</v>
      </c>
      <c r="F12" s="30">
        <v>38988.0</v>
      </c>
      <c r="G12" s="31" t="s">
        <v>40</v>
      </c>
      <c r="H12" s="30">
        <v>39382.0</v>
      </c>
      <c r="I12" s="32">
        <f t="shared" si="1"/>
        <v>13.13333333</v>
      </c>
      <c r="J12" s="33" t="s">
        <v>54</v>
      </c>
      <c r="K12" s="34">
        <v>14016.47</v>
      </c>
      <c r="L12" s="35">
        <f>200.72+44.46+602.54+208+34.08+1235.01</f>
        <v>2324.81</v>
      </c>
      <c r="M12" s="35">
        <v>707.84</v>
      </c>
      <c r="N12" s="35">
        <v>375.0</v>
      </c>
      <c r="O12" s="35">
        <f t="shared" si="2"/>
        <v>0</v>
      </c>
      <c r="P12" s="35">
        <f t="shared" si="3"/>
        <v>3407.65</v>
      </c>
      <c r="Q12" s="36">
        <f t="shared" si="4"/>
        <v>0.243117561</v>
      </c>
      <c r="R12" s="36">
        <f t="shared" si="5"/>
        <v>0.756882439</v>
      </c>
      <c r="S12" s="37"/>
      <c r="T12" s="5"/>
      <c r="U12" s="54"/>
      <c r="V12" s="55"/>
      <c r="W12" s="55"/>
      <c r="X12" s="56"/>
      <c r="Y12" s="55"/>
      <c r="Z12" s="55"/>
      <c r="AA12" s="57"/>
      <c r="AB12" s="5"/>
      <c r="AC12" s="42">
        <f t="shared" si="6"/>
        <v>0</v>
      </c>
      <c r="AD12" s="3">
        <f t="shared" si="7"/>
        <v>1</v>
      </c>
      <c r="AE12" s="3">
        <f t="shared" si="8"/>
        <v>0</v>
      </c>
      <c r="AF12" s="43">
        <f t="shared" si="9"/>
        <v>0</v>
      </c>
      <c r="AG12" s="44">
        <f t="shared" si="10"/>
        <v>0</v>
      </c>
      <c r="AH12" s="45">
        <f t="shared" si="11"/>
        <v>0</v>
      </c>
      <c r="AI12" s="46">
        <f t="shared" si="12"/>
        <v>0</v>
      </c>
      <c r="AJ12" s="47">
        <f t="shared" si="13"/>
        <v>0</v>
      </c>
      <c r="AK12" s="5"/>
      <c r="AL12" s="42">
        <f t="shared" si="14"/>
        <v>1</v>
      </c>
      <c r="AM12" s="3">
        <f t="shared" si="15"/>
        <v>1</v>
      </c>
      <c r="AN12" s="3">
        <f t="shared" si="16"/>
        <v>1</v>
      </c>
      <c r="AO12" s="3">
        <f t="shared" si="17"/>
        <v>1082.84</v>
      </c>
      <c r="AP12" s="44">
        <f t="shared" si="18"/>
        <v>14016.47</v>
      </c>
      <c r="AQ12" s="48">
        <f t="shared" si="19"/>
        <v>13.13333333</v>
      </c>
      <c r="AR12" s="46">
        <f t="shared" si="20"/>
        <v>0.002458792814</v>
      </c>
      <c r="AS12" s="47">
        <f t="shared" si="21"/>
        <v>0.0005977757119</v>
      </c>
      <c r="AT12" s="5"/>
      <c r="AU12" s="49">
        <f t="shared" si="27"/>
        <v>14016.47</v>
      </c>
      <c r="AV12" s="50">
        <f t="shared" si="23"/>
        <v>1</v>
      </c>
      <c r="AW12" s="51">
        <f t="shared" si="24"/>
        <v>0.001359922579</v>
      </c>
      <c r="AX12" s="52">
        <f t="shared" si="25"/>
        <v>0.0003306210605</v>
      </c>
      <c r="AY12" s="5"/>
      <c r="AZ12" s="53">
        <f t="shared" si="26"/>
        <v>1</v>
      </c>
      <c r="BA12" s="5"/>
      <c r="BB12" s="5"/>
      <c r="BC12" s="5"/>
    </row>
    <row r="13" ht="12.75" customHeight="1">
      <c r="A13" s="25"/>
      <c r="B13" s="27" t="s">
        <v>55</v>
      </c>
      <c r="C13" s="27"/>
      <c r="D13" s="28">
        <v>45043.0</v>
      </c>
      <c r="E13" s="29" t="s">
        <v>39</v>
      </c>
      <c r="F13" s="30">
        <v>39010.0</v>
      </c>
      <c r="G13" s="31" t="s">
        <v>40</v>
      </c>
      <c r="H13" s="30">
        <v>39147.0</v>
      </c>
      <c r="I13" s="32">
        <f t="shared" si="1"/>
        <v>4.566666667</v>
      </c>
      <c r="J13" s="33" t="s">
        <v>56</v>
      </c>
      <c r="K13" s="34">
        <v>45000.0</v>
      </c>
      <c r="L13" s="35">
        <f>103+22.9+191.3+71.6+65+11.45+2108.38</f>
        <v>2573.63</v>
      </c>
      <c r="M13" s="35">
        <v>0.0</v>
      </c>
      <c r="N13" s="35">
        <v>0.0</v>
      </c>
      <c r="O13" s="35">
        <f t="shared" si="2"/>
        <v>43</v>
      </c>
      <c r="P13" s="35">
        <f t="shared" si="3"/>
        <v>2616.63</v>
      </c>
      <c r="Q13" s="36">
        <f t="shared" si="4"/>
        <v>0.05809182337</v>
      </c>
      <c r="R13" s="36">
        <f t="shared" si="5"/>
        <v>0.9419081766</v>
      </c>
      <c r="S13" s="37"/>
      <c r="T13" s="5"/>
      <c r="U13" s="54"/>
      <c r="V13" s="55"/>
      <c r="W13" s="55"/>
      <c r="X13" s="56"/>
      <c r="Y13" s="55"/>
      <c r="Z13" s="55"/>
      <c r="AA13" s="57"/>
      <c r="AB13" s="5"/>
      <c r="AC13" s="42">
        <f t="shared" si="6"/>
        <v>0</v>
      </c>
      <c r="AD13" s="3">
        <f t="shared" si="7"/>
        <v>1</v>
      </c>
      <c r="AE13" s="3">
        <f t="shared" si="8"/>
        <v>0</v>
      </c>
      <c r="AF13" s="43">
        <f t="shared" si="9"/>
        <v>0</v>
      </c>
      <c r="AG13" s="44">
        <f t="shared" si="10"/>
        <v>0</v>
      </c>
      <c r="AH13" s="45">
        <f t="shared" si="11"/>
        <v>0</v>
      </c>
      <c r="AI13" s="46">
        <f t="shared" si="12"/>
        <v>0</v>
      </c>
      <c r="AJ13" s="47">
        <f t="shared" si="13"/>
        <v>0</v>
      </c>
      <c r="AK13" s="5"/>
      <c r="AL13" s="42">
        <f t="shared" si="14"/>
        <v>1</v>
      </c>
      <c r="AM13" s="3">
        <f t="shared" si="15"/>
        <v>1</v>
      </c>
      <c r="AN13" s="3">
        <f t="shared" si="16"/>
        <v>1</v>
      </c>
      <c r="AO13" s="3">
        <f t="shared" si="17"/>
        <v>0</v>
      </c>
      <c r="AP13" s="44">
        <f t="shared" si="18"/>
        <v>45043</v>
      </c>
      <c r="AQ13" s="48">
        <f t="shared" si="19"/>
        <v>4.566666667</v>
      </c>
      <c r="AR13" s="46">
        <f t="shared" si="20"/>
        <v>0.007901519051</v>
      </c>
      <c r="AS13" s="47">
        <f t="shared" si="21"/>
        <v>0.000459013649</v>
      </c>
      <c r="AT13" s="5"/>
      <c r="AU13" s="49">
        <f t="shared" si="27"/>
        <v>45043</v>
      </c>
      <c r="AV13" s="50">
        <f t="shared" si="23"/>
        <v>1</v>
      </c>
      <c r="AW13" s="51">
        <f t="shared" si="24"/>
        <v>0.004370215377</v>
      </c>
      <c r="AX13" s="52">
        <f t="shared" si="25"/>
        <v>0.0002538737798</v>
      </c>
      <c r="AY13" s="5"/>
      <c r="AZ13" s="53">
        <f t="shared" si="26"/>
        <v>1</v>
      </c>
      <c r="BA13" s="5"/>
      <c r="BB13" s="5"/>
      <c r="BC13" s="5"/>
    </row>
    <row r="14" ht="12.75" customHeight="1">
      <c r="A14" s="25"/>
      <c r="B14" s="27" t="s">
        <v>57</v>
      </c>
      <c r="C14" s="27"/>
      <c r="D14" s="28">
        <v>51406.23</v>
      </c>
      <c r="E14" s="29" t="s">
        <v>39</v>
      </c>
      <c r="F14" s="30">
        <v>39051.0</v>
      </c>
      <c r="G14" s="31" t="s">
        <v>40</v>
      </c>
      <c r="H14" s="30">
        <v>39415.0</v>
      </c>
      <c r="I14" s="32">
        <f t="shared" si="1"/>
        <v>12.13333333</v>
      </c>
      <c r="J14" s="33" t="s">
        <v>58</v>
      </c>
      <c r="K14" s="34">
        <v>51406.23</v>
      </c>
      <c r="L14" s="35">
        <f>301.08+66.6+780+157.8+156+28.92+5226.84</f>
        <v>6717.24</v>
      </c>
      <c r="M14" s="35">
        <v>872.79</v>
      </c>
      <c r="N14" s="35">
        <v>0.0</v>
      </c>
      <c r="O14" s="35">
        <f t="shared" si="2"/>
        <v>0</v>
      </c>
      <c r="P14" s="35">
        <f t="shared" si="3"/>
        <v>7590.03</v>
      </c>
      <c r="Q14" s="36">
        <f t="shared" si="4"/>
        <v>0.1476480574</v>
      </c>
      <c r="R14" s="36">
        <f t="shared" si="5"/>
        <v>0.8523519426</v>
      </c>
      <c r="S14" s="37"/>
      <c r="T14" s="5"/>
      <c r="U14" s="54"/>
      <c r="V14" s="55"/>
      <c r="W14" s="55"/>
      <c r="X14" s="56"/>
      <c r="Y14" s="55"/>
      <c r="Z14" s="55"/>
      <c r="AA14" s="57"/>
      <c r="AB14" s="5"/>
      <c r="AC14" s="42">
        <f t="shared" si="6"/>
        <v>0</v>
      </c>
      <c r="AD14" s="3">
        <f t="shared" si="7"/>
        <v>1</v>
      </c>
      <c r="AE14" s="3">
        <f t="shared" si="8"/>
        <v>0</v>
      </c>
      <c r="AF14" s="43">
        <f t="shared" si="9"/>
        <v>0</v>
      </c>
      <c r="AG14" s="44">
        <f t="shared" si="10"/>
        <v>0</v>
      </c>
      <c r="AH14" s="45">
        <f t="shared" si="11"/>
        <v>0</v>
      </c>
      <c r="AI14" s="46">
        <f t="shared" si="12"/>
        <v>0</v>
      </c>
      <c r="AJ14" s="47">
        <f t="shared" si="13"/>
        <v>0</v>
      </c>
      <c r="AK14" s="5"/>
      <c r="AL14" s="42">
        <f t="shared" si="14"/>
        <v>1</v>
      </c>
      <c r="AM14" s="3">
        <f t="shared" si="15"/>
        <v>1</v>
      </c>
      <c r="AN14" s="3">
        <f t="shared" si="16"/>
        <v>1</v>
      </c>
      <c r="AO14" s="3">
        <f t="shared" si="17"/>
        <v>872.79</v>
      </c>
      <c r="AP14" s="44">
        <f t="shared" si="18"/>
        <v>51406.23</v>
      </c>
      <c r="AQ14" s="48">
        <f t="shared" si="19"/>
        <v>12.13333333</v>
      </c>
      <c r="AR14" s="46">
        <f t="shared" si="20"/>
        <v>0.009017767593</v>
      </c>
      <c r="AS14" s="47">
        <f t="shared" si="21"/>
        <v>0.001331455868</v>
      </c>
      <c r="AT14" s="5"/>
      <c r="AU14" s="49">
        <f t="shared" si="27"/>
        <v>51406.23</v>
      </c>
      <c r="AV14" s="50">
        <f t="shared" si="23"/>
        <v>1</v>
      </c>
      <c r="AW14" s="51">
        <f t="shared" si="24"/>
        <v>0.004987596226</v>
      </c>
      <c r="AX14" s="52">
        <f t="shared" si="25"/>
        <v>0.0007364088941</v>
      </c>
      <c r="AY14" s="5"/>
      <c r="AZ14" s="53">
        <f t="shared" si="26"/>
        <v>1</v>
      </c>
      <c r="BA14" s="5"/>
      <c r="BB14" s="5"/>
      <c r="BC14" s="5"/>
    </row>
    <row r="15" ht="12.75" customHeight="1">
      <c r="A15" s="25"/>
      <c r="B15" s="27" t="s">
        <v>59</v>
      </c>
      <c r="C15" s="27"/>
      <c r="D15" s="28">
        <v>39774.48</v>
      </c>
      <c r="E15" s="61" t="s">
        <v>39</v>
      </c>
      <c r="F15" s="30">
        <v>39051.0</v>
      </c>
      <c r="G15" s="59" t="s">
        <v>40</v>
      </c>
      <c r="H15" s="30">
        <v>39536.0</v>
      </c>
      <c r="I15" s="32">
        <f t="shared" si="1"/>
        <v>16.16666667</v>
      </c>
      <c r="J15" s="60" t="s">
        <v>60</v>
      </c>
      <c r="K15" s="34">
        <v>25000.0</v>
      </c>
      <c r="L15" s="35">
        <f>174.8+38.64+154.4+62.08+104+18.56+1502.59+52.64+21.12+96+12.48+746.39+5.64+2.12+48+6.24+128.03</f>
        <v>3173.73</v>
      </c>
      <c r="M15" s="35">
        <v>0.0</v>
      </c>
      <c r="N15" s="35">
        <v>0.0</v>
      </c>
      <c r="O15" s="35">
        <f t="shared" si="2"/>
        <v>14774.48</v>
      </c>
      <c r="P15" s="35">
        <f t="shared" si="3"/>
        <v>17948.21</v>
      </c>
      <c r="Q15" s="36">
        <f t="shared" si="4"/>
        <v>0.4512493941</v>
      </c>
      <c r="R15" s="36">
        <f t="shared" si="5"/>
        <v>0.5487506059</v>
      </c>
      <c r="S15" s="37"/>
      <c r="T15" s="5"/>
      <c r="U15" s="54"/>
      <c r="V15" s="55"/>
      <c r="W15" s="55"/>
      <c r="X15" s="56"/>
      <c r="Y15" s="55"/>
      <c r="Z15" s="55"/>
      <c r="AA15" s="57"/>
      <c r="AB15" s="5"/>
      <c r="AC15" s="42">
        <f t="shared" si="6"/>
        <v>0</v>
      </c>
      <c r="AD15" s="3">
        <f t="shared" si="7"/>
        <v>1</v>
      </c>
      <c r="AE15" s="3">
        <f t="shared" si="8"/>
        <v>0</v>
      </c>
      <c r="AF15" s="43">
        <f t="shared" si="9"/>
        <v>0</v>
      </c>
      <c r="AG15" s="44">
        <f t="shared" si="10"/>
        <v>0</v>
      </c>
      <c r="AH15" s="45">
        <f t="shared" si="11"/>
        <v>0</v>
      </c>
      <c r="AI15" s="46">
        <f t="shared" si="12"/>
        <v>0</v>
      </c>
      <c r="AJ15" s="47">
        <f t="shared" si="13"/>
        <v>0</v>
      </c>
      <c r="AK15" s="5"/>
      <c r="AL15" s="42">
        <f t="shared" si="14"/>
        <v>1</v>
      </c>
      <c r="AM15" s="3">
        <f t="shared" si="15"/>
        <v>1</v>
      </c>
      <c r="AN15" s="3">
        <f t="shared" si="16"/>
        <v>1</v>
      </c>
      <c r="AO15" s="3">
        <f t="shared" si="17"/>
        <v>0</v>
      </c>
      <c r="AP15" s="44">
        <f t="shared" si="18"/>
        <v>39774.48</v>
      </c>
      <c r="AQ15" s="48">
        <f t="shared" si="19"/>
        <v>16.16666667</v>
      </c>
      <c r="AR15" s="46">
        <f t="shared" si="20"/>
        <v>0.006977306384</v>
      </c>
      <c r="AS15" s="47">
        <f t="shared" si="21"/>
        <v>0.003148505278</v>
      </c>
      <c r="AT15" s="5"/>
      <c r="AU15" s="49">
        <f t="shared" si="27"/>
        <v>39774.48</v>
      </c>
      <c r="AV15" s="50">
        <f t="shared" si="23"/>
        <v>1</v>
      </c>
      <c r="AW15" s="51">
        <f t="shared" si="24"/>
        <v>0.00385904678</v>
      </c>
      <c r="AX15" s="52">
        <f t="shared" si="25"/>
        <v>0.001741392521</v>
      </c>
      <c r="AY15" s="5"/>
      <c r="AZ15" s="53">
        <f t="shared" si="26"/>
        <v>1</v>
      </c>
      <c r="BA15" s="5"/>
      <c r="BB15" s="5"/>
      <c r="BC15" s="5"/>
    </row>
    <row r="16" ht="12.75" customHeight="1">
      <c r="A16" s="25"/>
      <c r="B16" s="27" t="s">
        <v>61</v>
      </c>
      <c r="C16" s="27"/>
      <c r="D16" s="28">
        <v>17427.91</v>
      </c>
      <c r="E16" s="29" t="s">
        <v>39</v>
      </c>
      <c r="F16" s="30">
        <v>39099.0</v>
      </c>
      <c r="G16" s="31" t="s">
        <v>40</v>
      </c>
      <c r="H16" s="30">
        <v>39254.0</v>
      </c>
      <c r="I16" s="32">
        <f t="shared" si="1"/>
        <v>5.166666667</v>
      </c>
      <c r="J16" s="33" t="s">
        <v>62</v>
      </c>
      <c r="K16" s="34">
        <v>19905.0</v>
      </c>
      <c r="L16" s="35">
        <f>62.15+13.75+57.3+34.7+65+10.25+975.81</f>
        <v>1218.96</v>
      </c>
      <c r="M16" s="35">
        <v>0.0</v>
      </c>
      <c r="N16" s="35">
        <v>0.0</v>
      </c>
      <c r="O16" s="35">
        <f t="shared" si="2"/>
        <v>0</v>
      </c>
      <c r="P16" s="35">
        <f t="shared" si="3"/>
        <v>0</v>
      </c>
      <c r="Q16" s="36">
        <f t="shared" si="4"/>
        <v>0</v>
      </c>
      <c r="R16" s="36">
        <f t="shared" si="5"/>
        <v>1</v>
      </c>
      <c r="S16" s="37"/>
      <c r="T16" s="5"/>
      <c r="U16" s="54"/>
      <c r="V16" s="55"/>
      <c r="W16" s="55"/>
      <c r="X16" s="56"/>
      <c r="Y16" s="55"/>
      <c r="Z16" s="55"/>
      <c r="AA16" s="57"/>
      <c r="AB16" s="5"/>
      <c r="AC16" s="42">
        <f t="shared" si="6"/>
        <v>0</v>
      </c>
      <c r="AD16" s="3">
        <f t="shared" si="7"/>
        <v>1</v>
      </c>
      <c r="AE16" s="3">
        <f t="shared" si="8"/>
        <v>0</v>
      </c>
      <c r="AF16" s="43">
        <f t="shared" si="9"/>
        <v>0</v>
      </c>
      <c r="AG16" s="44">
        <f t="shared" si="10"/>
        <v>0</v>
      </c>
      <c r="AH16" s="45">
        <f t="shared" si="11"/>
        <v>0</v>
      </c>
      <c r="AI16" s="46">
        <f t="shared" si="12"/>
        <v>0</v>
      </c>
      <c r="AJ16" s="47">
        <f t="shared" si="13"/>
        <v>0</v>
      </c>
      <c r="AK16" s="5"/>
      <c r="AL16" s="42">
        <f t="shared" si="14"/>
        <v>1</v>
      </c>
      <c r="AM16" s="3">
        <f t="shared" si="15"/>
        <v>1</v>
      </c>
      <c r="AN16" s="3">
        <f t="shared" si="16"/>
        <v>1</v>
      </c>
      <c r="AO16" s="3">
        <f t="shared" si="17"/>
        <v>0</v>
      </c>
      <c r="AP16" s="44">
        <f t="shared" si="18"/>
        <v>17427.91</v>
      </c>
      <c r="AQ16" s="48">
        <f t="shared" si="19"/>
        <v>5.166666667</v>
      </c>
      <c r="AR16" s="46">
        <f t="shared" si="20"/>
        <v>0.003057233374</v>
      </c>
      <c r="AS16" s="47">
        <f t="shared" si="21"/>
        <v>0</v>
      </c>
      <c r="AT16" s="5"/>
      <c r="AU16" s="49">
        <f t="shared" si="27"/>
        <v>17427.91</v>
      </c>
      <c r="AV16" s="50">
        <f t="shared" si="23"/>
        <v>1</v>
      </c>
      <c r="AW16" s="51">
        <f t="shared" si="24"/>
        <v>0.001690911357</v>
      </c>
      <c r="AX16" s="52">
        <f t="shared" si="25"/>
        <v>0</v>
      </c>
      <c r="AY16" s="5"/>
      <c r="AZ16" s="53">
        <f t="shared" si="26"/>
        <v>1</v>
      </c>
      <c r="BA16" s="5"/>
      <c r="BB16" s="5"/>
      <c r="BC16" s="5"/>
    </row>
    <row r="17" ht="12.75" customHeight="1">
      <c r="A17" s="25"/>
      <c r="B17" s="27" t="s">
        <v>63</v>
      </c>
      <c r="C17" s="27"/>
      <c r="D17" s="28">
        <v>17427.91</v>
      </c>
      <c r="E17" s="29" t="s">
        <v>39</v>
      </c>
      <c r="F17" s="30">
        <v>39099.0</v>
      </c>
      <c r="G17" s="31" t="s">
        <v>40</v>
      </c>
      <c r="H17" s="30">
        <v>39254.0</v>
      </c>
      <c r="I17" s="32">
        <f t="shared" si="1"/>
        <v>5.166666667</v>
      </c>
      <c r="J17" s="33" t="s">
        <v>64</v>
      </c>
      <c r="K17" s="34">
        <v>19460.18</v>
      </c>
      <c r="L17" s="35">
        <f>4.02+2.44+24+3.12+202.06</f>
        <v>235.64</v>
      </c>
      <c r="M17" s="35">
        <v>0.0</v>
      </c>
      <c r="N17" s="35">
        <v>0.0</v>
      </c>
      <c r="O17" s="35">
        <f t="shared" si="2"/>
        <v>0</v>
      </c>
      <c r="P17" s="35">
        <f t="shared" si="3"/>
        <v>0</v>
      </c>
      <c r="Q17" s="36">
        <f t="shared" si="4"/>
        <v>0</v>
      </c>
      <c r="R17" s="36">
        <f t="shared" si="5"/>
        <v>1</v>
      </c>
      <c r="S17" s="37"/>
      <c r="T17" s="5"/>
      <c r="U17" s="54"/>
      <c r="V17" s="55"/>
      <c r="W17" s="55"/>
      <c r="X17" s="56"/>
      <c r="Y17" s="55"/>
      <c r="Z17" s="55"/>
      <c r="AA17" s="57"/>
      <c r="AB17" s="5"/>
      <c r="AC17" s="42">
        <f t="shared" si="6"/>
        <v>0</v>
      </c>
      <c r="AD17" s="3">
        <f t="shared" si="7"/>
        <v>1</v>
      </c>
      <c r="AE17" s="3">
        <f t="shared" si="8"/>
        <v>0</v>
      </c>
      <c r="AF17" s="43">
        <f t="shared" si="9"/>
        <v>0</v>
      </c>
      <c r="AG17" s="44">
        <f t="shared" si="10"/>
        <v>0</v>
      </c>
      <c r="AH17" s="45">
        <f t="shared" si="11"/>
        <v>0</v>
      </c>
      <c r="AI17" s="46">
        <f t="shared" si="12"/>
        <v>0</v>
      </c>
      <c r="AJ17" s="47">
        <f t="shared" si="13"/>
        <v>0</v>
      </c>
      <c r="AK17" s="5"/>
      <c r="AL17" s="42">
        <f t="shared" si="14"/>
        <v>1</v>
      </c>
      <c r="AM17" s="3">
        <f t="shared" si="15"/>
        <v>1</v>
      </c>
      <c r="AN17" s="3">
        <f t="shared" si="16"/>
        <v>1</v>
      </c>
      <c r="AO17" s="3">
        <f t="shared" si="17"/>
        <v>0</v>
      </c>
      <c r="AP17" s="44">
        <f t="shared" si="18"/>
        <v>17427.91</v>
      </c>
      <c r="AQ17" s="48">
        <f t="shared" si="19"/>
        <v>5.166666667</v>
      </c>
      <c r="AR17" s="46">
        <f t="shared" si="20"/>
        <v>0.003057233374</v>
      </c>
      <c r="AS17" s="47">
        <f t="shared" si="21"/>
        <v>0</v>
      </c>
      <c r="AT17" s="5"/>
      <c r="AU17" s="49">
        <f t="shared" si="27"/>
        <v>17427.91</v>
      </c>
      <c r="AV17" s="50">
        <f t="shared" si="23"/>
        <v>1</v>
      </c>
      <c r="AW17" s="51">
        <f t="shared" si="24"/>
        <v>0.001690911357</v>
      </c>
      <c r="AX17" s="52">
        <f t="shared" si="25"/>
        <v>0</v>
      </c>
      <c r="AY17" s="5"/>
      <c r="AZ17" s="53">
        <f t="shared" si="26"/>
        <v>1</v>
      </c>
      <c r="BA17" s="5"/>
      <c r="BB17" s="5"/>
      <c r="BC17" s="5"/>
    </row>
    <row r="18" ht="12.75" customHeight="1">
      <c r="A18" s="25"/>
      <c r="B18" s="27" t="s">
        <v>65</v>
      </c>
      <c r="C18" s="27"/>
      <c r="D18" s="28">
        <v>13840.87</v>
      </c>
      <c r="E18" s="29" t="s">
        <v>49</v>
      </c>
      <c r="F18" s="30">
        <v>39107.0</v>
      </c>
      <c r="G18" s="59" t="s">
        <v>40</v>
      </c>
      <c r="H18" s="30">
        <v>39637.0</v>
      </c>
      <c r="I18" s="32">
        <f t="shared" si="1"/>
        <v>17.66666667</v>
      </c>
      <c r="J18" s="33" t="s">
        <v>66</v>
      </c>
      <c r="K18" s="34">
        <v>15982.15</v>
      </c>
      <c r="L18" s="35">
        <f>84+18.62+55.72+49.98+182+26.04+1752.1</f>
        <v>2168.46</v>
      </c>
      <c r="M18" s="35">
        <v>868.22</v>
      </c>
      <c r="N18" s="35">
        <v>300.0</v>
      </c>
      <c r="O18" s="35">
        <f t="shared" si="2"/>
        <v>0</v>
      </c>
      <c r="P18" s="35">
        <f t="shared" si="3"/>
        <v>1195.4</v>
      </c>
      <c r="Q18" s="36">
        <f t="shared" si="4"/>
        <v>0.08636740321</v>
      </c>
      <c r="R18" s="36">
        <f t="shared" si="5"/>
        <v>0.9136325968</v>
      </c>
      <c r="S18" s="37"/>
      <c r="T18" s="5"/>
      <c r="U18" s="54"/>
      <c r="V18" s="55"/>
      <c r="W18" s="55"/>
      <c r="X18" s="56"/>
      <c r="Y18" s="55"/>
      <c r="Z18" s="55"/>
      <c r="AA18" s="57"/>
      <c r="AB18" s="5"/>
      <c r="AC18" s="42">
        <f t="shared" si="6"/>
        <v>1</v>
      </c>
      <c r="AD18" s="3">
        <f t="shared" si="7"/>
        <v>1</v>
      </c>
      <c r="AE18" s="3">
        <f t="shared" si="8"/>
        <v>1</v>
      </c>
      <c r="AF18" s="43">
        <f t="shared" si="9"/>
        <v>1168.22</v>
      </c>
      <c r="AG18" s="44">
        <f t="shared" si="10"/>
        <v>13840.87</v>
      </c>
      <c r="AH18" s="45">
        <f t="shared" si="11"/>
        <v>17.66666667</v>
      </c>
      <c r="AI18" s="46">
        <f t="shared" si="12"/>
        <v>0.002995206534</v>
      </c>
      <c r="AJ18" s="47">
        <f t="shared" si="13"/>
        <v>0.0002586882104</v>
      </c>
      <c r="AK18" s="5"/>
      <c r="AL18" s="42">
        <f t="shared" si="14"/>
        <v>0</v>
      </c>
      <c r="AM18" s="3">
        <f t="shared" si="15"/>
        <v>1</v>
      </c>
      <c r="AN18" s="3">
        <f t="shared" si="16"/>
        <v>0</v>
      </c>
      <c r="AO18" s="3">
        <f t="shared" si="17"/>
        <v>0</v>
      </c>
      <c r="AP18" s="44">
        <f t="shared" si="18"/>
        <v>0</v>
      </c>
      <c r="AQ18" s="48">
        <f t="shared" si="19"/>
        <v>0</v>
      </c>
      <c r="AR18" s="46">
        <f t="shared" si="20"/>
        <v>0</v>
      </c>
      <c r="AS18" s="47">
        <f t="shared" si="21"/>
        <v>0</v>
      </c>
      <c r="AT18" s="5"/>
      <c r="AU18" s="49">
        <f t="shared" si="27"/>
        <v>13840.87</v>
      </c>
      <c r="AV18" s="50">
        <f t="shared" si="23"/>
        <v>1</v>
      </c>
      <c r="AW18" s="51">
        <f t="shared" si="24"/>
        <v>0.001342885307</v>
      </c>
      <c r="AX18" s="52">
        <f t="shared" si="25"/>
        <v>0.0001159815168</v>
      </c>
      <c r="AY18" s="5"/>
      <c r="AZ18" s="53">
        <f t="shared" si="26"/>
        <v>1</v>
      </c>
      <c r="BA18" s="5"/>
      <c r="BB18" s="5"/>
      <c r="BC18" s="5"/>
    </row>
    <row r="19" ht="12.75" customHeight="1">
      <c r="A19" s="25"/>
      <c r="B19" s="27" t="s">
        <v>67</v>
      </c>
      <c r="C19" s="27"/>
      <c r="D19" s="28">
        <v>27496.0</v>
      </c>
      <c r="E19" s="29" t="s">
        <v>39</v>
      </c>
      <c r="F19" s="30">
        <v>39111.0</v>
      </c>
      <c r="G19" s="31" t="s">
        <v>40</v>
      </c>
      <c r="H19" s="30">
        <v>39142.0</v>
      </c>
      <c r="I19" s="32">
        <f t="shared" si="1"/>
        <v>1.033333333</v>
      </c>
      <c r="J19" s="60" t="s">
        <v>68</v>
      </c>
      <c r="K19" s="34">
        <v>26000.0</v>
      </c>
      <c r="L19" s="35">
        <f>25.3+5.6+34.7+13.68+26+4.1+219.71</f>
        <v>329.09</v>
      </c>
      <c r="M19" s="35">
        <v>0.0</v>
      </c>
      <c r="N19" s="35">
        <v>0.0</v>
      </c>
      <c r="O19" s="35">
        <f t="shared" si="2"/>
        <v>1496</v>
      </c>
      <c r="P19" s="35">
        <f t="shared" si="3"/>
        <v>1825.09</v>
      </c>
      <c r="Q19" s="36">
        <f t="shared" si="4"/>
        <v>0.06637656386</v>
      </c>
      <c r="R19" s="36">
        <f t="shared" si="5"/>
        <v>0.9336234361</v>
      </c>
      <c r="S19" s="37"/>
      <c r="T19" s="5"/>
      <c r="U19" s="54"/>
      <c r="V19" s="55"/>
      <c r="W19" s="55"/>
      <c r="X19" s="56"/>
      <c r="Y19" s="55"/>
      <c r="Z19" s="55"/>
      <c r="AA19" s="57"/>
      <c r="AB19" s="5"/>
      <c r="AC19" s="42">
        <f t="shared" si="6"/>
        <v>0</v>
      </c>
      <c r="AD19" s="3">
        <f t="shared" si="7"/>
        <v>1</v>
      </c>
      <c r="AE19" s="3">
        <f t="shared" si="8"/>
        <v>0</v>
      </c>
      <c r="AF19" s="43">
        <f t="shared" si="9"/>
        <v>0</v>
      </c>
      <c r="AG19" s="44">
        <f t="shared" si="10"/>
        <v>0</v>
      </c>
      <c r="AH19" s="45">
        <f t="shared" si="11"/>
        <v>0</v>
      </c>
      <c r="AI19" s="46">
        <f t="shared" si="12"/>
        <v>0</v>
      </c>
      <c r="AJ19" s="47">
        <f t="shared" si="13"/>
        <v>0</v>
      </c>
      <c r="AK19" s="5"/>
      <c r="AL19" s="42">
        <f t="shared" si="14"/>
        <v>1</v>
      </c>
      <c r="AM19" s="3">
        <f t="shared" si="15"/>
        <v>1</v>
      </c>
      <c r="AN19" s="3">
        <f t="shared" si="16"/>
        <v>1</v>
      </c>
      <c r="AO19" s="3">
        <f t="shared" si="17"/>
        <v>0</v>
      </c>
      <c r="AP19" s="44">
        <f t="shared" si="18"/>
        <v>27496</v>
      </c>
      <c r="AQ19" s="48">
        <f t="shared" si="19"/>
        <v>1.033333333</v>
      </c>
      <c r="AR19" s="46">
        <f t="shared" si="20"/>
        <v>0.004823394708</v>
      </c>
      <c r="AS19" s="47">
        <f t="shared" si="21"/>
        <v>0.0003201603669</v>
      </c>
      <c r="AT19" s="5"/>
      <c r="AU19" s="49">
        <f t="shared" si="27"/>
        <v>27496</v>
      </c>
      <c r="AV19" s="50">
        <f t="shared" si="23"/>
        <v>1</v>
      </c>
      <c r="AW19" s="51">
        <f t="shared" si="24"/>
        <v>0.002667749528</v>
      </c>
      <c r="AX19" s="52">
        <f t="shared" si="25"/>
        <v>0.0001770760469</v>
      </c>
      <c r="AY19" s="5"/>
      <c r="AZ19" s="53">
        <f t="shared" si="26"/>
        <v>1</v>
      </c>
      <c r="BA19" s="5"/>
      <c r="BB19" s="5"/>
      <c r="BC19" s="5"/>
    </row>
    <row r="20" ht="12.75" customHeight="1">
      <c r="A20" s="25"/>
      <c r="B20" s="27" t="s">
        <v>69</v>
      </c>
      <c r="C20" s="27"/>
      <c r="D20" s="28">
        <v>14058.15</v>
      </c>
      <c r="E20" s="29" t="s">
        <v>39</v>
      </c>
      <c r="F20" s="30">
        <v>39142.0</v>
      </c>
      <c r="G20" s="31" t="s">
        <v>40</v>
      </c>
      <c r="H20" s="30">
        <v>39163.0</v>
      </c>
      <c r="I20" s="32">
        <f t="shared" si="1"/>
        <v>0.7</v>
      </c>
      <c r="J20" s="33" t="s">
        <v>70</v>
      </c>
      <c r="K20" s="34">
        <v>19650.0</v>
      </c>
      <c r="L20" s="35">
        <v>156.86</v>
      </c>
      <c r="M20" s="35">
        <v>0.0</v>
      </c>
      <c r="N20" s="35">
        <v>0.0</v>
      </c>
      <c r="O20" s="35">
        <f t="shared" si="2"/>
        <v>0</v>
      </c>
      <c r="P20" s="35">
        <f t="shared" si="3"/>
        <v>0</v>
      </c>
      <c r="Q20" s="36">
        <f t="shared" si="4"/>
        <v>0</v>
      </c>
      <c r="R20" s="36">
        <f t="shared" si="5"/>
        <v>1</v>
      </c>
      <c r="S20" s="37"/>
      <c r="T20" s="5"/>
      <c r="U20" s="54"/>
      <c r="V20" s="55"/>
      <c r="W20" s="55"/>
      <c r="X20" s="56"/>
      <c r="Y20" s="55"/>
      <c r="Z20" s="55"/>
      <c r="AA20" s="57"/>
      <c r="AB20" s="5"/>
      <c r="AC20" s="42">
        <f t="shared" si="6"/>
        <v>0</v>
      </c>
      <c r="AD20" s="3">
        <f t="shared" si="7"/>
        <v>1</v>
      </c>
      <c r="AE20" s="3">
        <f t="shared" si="8"/>
        <v>0</v>
      </c>
      <c r="AF20" s="43">
        <f t="shared" si="9"/>
        <v>0</v>
      </c>
      <c r="AG20" s="44">
        <f t="shared" si="10"/>
        <v>0</v>
      </c>
      <c r="AH20" s="45">
        <f t="shared" si="11"/>
        <v>0</v>
      </c>
      <c r="AI20" s="46">
        <f t="shared" si="12"/>
        <v>0</v>
      </c>
      <c r="AJ20" s="47">
        <f t="shared" si="13"/>
        <v>0</v>
      </c>
      <c r="AK20" s="5"/>
      <c r="AL20" s="42">
        <f t="shared" si="14"/>
        <v>1</v>
      </c>
      <c r="AM20" s="3">
        <f t="shared" si="15"/>
        <v>1</v>
      </c>
      <c r="AN20" s="3">
        <f t="shared" si="16"/>
        <v>1</v>
      </c>
      <c r="AO20" s="3">
        <f t="shared" si="17"/>
        <v>0</v>
      </c>
      <c r="AP20" s="44">
        <f t="shared" si="18"/>
        <v>14058.15</v>
      </c>
      <c r="AQ20" s="48">
        <f t="shared" si="19"/>
        <v>0.7</v>
      </c>
      <c r="AR20" s="46">
        <f t="shared" si="20"/>
        <v>0.00246610439</v>
      </c>
      <c r="AS20" s="47">
        <f t="shared" si="21"/>
        <v>0</v>
      </c>
      <c r="AT20" s="5"/>
      <c r="AU20" s="49">
        <f t="shared" si="27"/>
        <v>14058.15</v>
      </c>
      <c r="AV20" s="50">
        <f t="shared" si="23"/>
        <v>1</v>
      </c>
      <c r="AW20" s="51">
        <f t="shared" si="24"/>
        <v>0.001363966505</v>
      </c>
      <c r="AX20" s="52">
        <f t="shared" si="25"/>
        <v>0</v>
      </c>
      <c r="AY20" s="5"/>
      <c r="AZ20" s="53">
        <f t="shared" si="26"/>
        <v>1</v>
      </c>
      <c r="BA20" s="5"/>
      <c r="BB20" s="5"/>
      <c r="BC20" s="5"/>
    </row>
    <row r="21" ht="12.75" customHeight="1">
      <c r="A21" s="25"/>
      <c r="B21" s="62" t="s">
        <v>71</v>
      </c>
      <c r="C21" s="62"/>
      <c r="D21" s="63">
        <v>59640.28</v>
      </c>
      <c r="E21" s="61" t="s">
        <v>39</v>
      </c>
      <c r="F21" s="30">
        <v>39202.0</v>
      </c>
      <c r="G21" s="32" t="s">
        <v>40</v>
      </c>
      <c r="H21" s="30">
        <v>39286.0</v>
      </c>
      <c r="I21" s="32">
        <f t="shared" si="1"/>
        <v>2.8</v>
      </c>
      <c r="J21" s="64" t="s">
        <v>66</v>
      </c>
      <c r="K21" s="34">
        <v>59640.28</v>
      </c>
      <c r="L21" s="65">
        <v>4447.02</v>
      </c>
      <c r="M21" s="65">
        <v>0.0</v>
      </c>
      <c r="N21" s="65">
        <v>0.0</v>
      </c>
      <c r="O21" s="35">
        <f t="shared" si="2"/>
        <v>0</v>
      </c>
      <c r="P21" s="35">
        <f t="shared" si="3"/>
        <v>4447.02</v>
      </c>
      <c r="Q21" s="36">
        <f t="shared" si="4"/>
        <v>0.07456403625</v>
      </c>
      <c r="R21" s="36">
        <f t="shared" si="5"/>
        <v>0.9254359637</v>
      </c>
      <c r="S21" s="37"/>
      <c r="T21" s="5"/>
      <c r="U21" s="54"/>
      <c r="V21" s="55"/>
      <c r="W21" s="55"/>
      <c r="X21" s="56"/>
      <c r="Y21" s="55"/>
      <c r="Z21" s="55"/>
      <c r="AA21" s="57"/>
      <c r="AB21" s="5"/>
      <c r="AC21" s="42">
        <f t="shared" si="6"/>
        <v>0</v>
      </c>
      <c r="AD21" s="3">
        <f t="shared" si="7"/>
        <v>1</v>
      </c>
      <c r="AE21" s="3">
        <f t="shared" si="8"/>
        <v>0</v>
      </c>
      <c r="AF21" s="43">
        <f t="shared" si="9"/>
        <v>0</v>
      </c>
      <c r="AG21" s="44">
        <f t="shared" si="10"/>
        <v>0</v>
      </c>
      <c r="AH21" s="45">
        <f t="shared" si="11"/>
        <v>0</v>
      </c>
      <c r="AI21" s="46">
        <f t="shared" si="12"/>
        <v>0</v>
      </c>
      <c r="AJ21" s="47">
        <f t="shared" si="13"/>
        <v>0</v>
      </c>
      <c r="AK21" s="5"/>
      <c r="AL21" s="42">
        <f t="shared" si="14"/>
        <v>1</v>
      </c>
      <c r="AM21" s="3">
        <f t="shared" si="15"/>
        <v>1</v>
      </c>
      <c r="AN21" s="3">
        <f t="shared" si="16"/>
        <v>1</v>
      </c>
      <c r="AO21" s="3">
        <f t="shared" si="17"/>
        <v>0</v>
      </c>
      <c r="AP21" s="44">
        <f t="shared" si="18"/>
        <v>59640.28</v>
      </c>
      <c r="AQ21" s="48">
        <f t="shared" si="19"/>
        <v>2.8</v>
      </c>
      <c r="AR21" s="46">
        <f t="shared" si="20"/>
        <v>0.01046219854</v>
      </c>
      <c r="AS21" s="47">
        <f t="shared" si="21"/>
        <v>0.0007801037508</v>
      </c>
      <c r="AT21" s="5"/>
      <c r="AU21" s="49">
        <f t="shared" si="27"/>
        <v>59640.28</v>
      </c>
      <c r="AV21" s="50">
        <f t="shared" si="23"/>
        <v>1</v>
      </c>
      <c r="AW21" s="51">
        <f t="shared" si="24"/>
        <v>0.005786489992</v>
      </c>
      <c r="AX21" s="52">
        <f t="shared" si="25"/>
        <v>0.0004314640496</v>
      </c>
      <c r="AY21" s="5"/>
      <c r="AZ21" s="53">
        <f t="shared" si="26"/>
        <v>1</v>
      </c>
      <c r="BA21" s="5"/>
      <c r="BB21" s="5"/>
      <c r="BC21" s="5"/>
    </row>
    <row r="22" ht="12.75" customHeight="1">
      <c r="A22" s="25"/>
      <c r="B22" s="62" t="s">
        <v>72</v>
      </c>
      <c r="C22" s="62"/>
      <c r="D22" s="63">
        <v>39567.76</v>
      </c>
      <c r="E22" s="61" t="s">
        <v>39</v>
      </c>
      <c r="F22" s="30">
        <v>39233.0</v>
      </c>
      <c r="G22" s="66" t="s">
        <v>40</v>
      </c>
      <c r="H22" s="30">
        <v>39539.0</v>
      </c>
      <c r="I22" s="32">
        <f t="shared" si="1"/>
        <v>10.2</v>
      </c>
      <c r="J22" s="33" t="s">
        <v>60</v>
      </c>
      <c r="K22" s="34">
        <v>39567.76</v>
      </c>
      <c r="L22" s="65">
        <f>18.25+4.04+62.96+12.1+13+2.22+2441.65</f>
        <v>2554.22</v>
      </c>
      <c r="M22" s="65">
        <v>0.0</v>
      </c>
      <c r="N22" s="65">
        <v>0.0</v>
      </c>
      <c r="O22" s="35">
        <f t="shared" si="2"/>
        <v>0</v>
      </c>
      <c r="P22" s="35">
        <f t="shared" si="3"/>
        <v>2554.22</v>
      </c>
      <c r="Q22" s="36">
        <f t="shared" si="4"/>
        <v>0.06455306037</v>
      </c>
      <c r="R22" s="36">
        <f t="shared" si="5"/>
        <v>0.9354469396</v>
      </c>
      <c r="S22" s="37"/>
      <c r="T22" s="5"/>
      <c r="U22" s="54"/>
      <c r="V22" s="55"/>
      <c r="W22" s="55"/>
      <c r="X22" s="56"/>
      <c r="Y22" s="55"/>
      <c r="Z22" s="55"/>
      <c r="AA22" s="57"/>
      <c r="AB22" s="5"/>
      <c r="AC22" s="42">
        <f t="shared" si="6"/>
        <v>0</v>
      </c>
      <c r="AD22" s="3">
        <f t="shared" si="7"/>
        <v>1</v>
      </c>
      <c r="AE22" s="3">
        <f t="shared" si="8"/>
        <v>0</v>
      </c>
      <c r="AF22" s="43">
        <f t="shared" si="9"/>
        <v>0</v>
      </c>
      <c r="AG22" s="44">
        <f t="shared" si="10"/>
        <v>0</v>
      </c>
      <c r="AH22" s="45">
        <f t="shared" si="11"/>
        <v>0</v>
      </c>
      <c r="AI22" s="46">
        <f t="shared" si="12"/>
        <v>0</v>
      </c>
      <c r="AJ22" s="47">
        <f t="shared" si="13"/>
        <v>0</v>
      </c>
      <c r="AK22" s="5"/>
      <c r="AL22" s="42">
        <f t="shared" si="14"/>
        <v>1</v>
      </c>
      <c r="AM22" s="3">
        <f t="shared" si="15"/>
        <v>1</v>
      </c>
      <c r="AN22" s="3">
        <f t="shared" si="16"/>
        <v>1</v>
      </c>
      <c r="AO22" s="3">
        <f t="shared" si="17"/>
        <v>0</v>
      </c>
      <c r="AP22" s="44">
        <f t="shared" si="18"/>
        <v>39567.76</v>
      </c>
      <c r="AQ22" s="48">
        <f t="shared" si="19"/>
        <v>10.2</v>
      </c>
      <c r="AR22" s="46">
        <f t="shared" si="20"/>
        <v>0.006941043213</v>
      </c>
      <c r="AS22" s="47">
        <f t="shared" si="21"/>
        <v>0.0004480655816</v>
      </c>
      <c r="AT22" s="5"/>
      <c r="AU22" s="49">
        <f t="shared" si="27"/>
        <v>39567.76</v>
      </c>
      <c r="AV22" s="50">
        <f t="shared" si="23"/>
        <v>1</v>
      </c>
      <c r="AW22" s="51">
        <f t="shared" si="24"/>
        <v>0.003838990147</v>
      </c>
      <c r="AX22" s="52">
        <f t="shared" si="25"/>
        <v>0.0002478185627</v>
      </c>
      <c r="AY22" s="5"/>
      <c r="AZ22" s="53">
        <f t="shared" si="26"/>
        <v>1</v>
      </c>
      <c r="BA22" s="5"/>
      <c r="BB22" s="5"/>
      <c r="BC22" s="5"/>
    </row>
    <row r="23" ht="12.75" customHeight="1">
      <c r="A23" s="25"/>
      <c r="B23" s="62" t="s">
        <v>73</v>
      </c>
      <c r="C23" s="62"/>
      <c r="D23" s="63">
        <v>59892.78</v>
      </c>
      <c r="E23" s="29" t="s">
        <v>39</v>
      </c>
      <c r="F23" s="30">
        <v>39342.0</v>
      </c>
      <c r="G23" s="67" t="s">
        <v>40</v>
      </c>
      <c r="H23" s="30">
        <v>39562.0</v>
      </c>
      <c r="I23" s="32">
        <f t="shared" si="1"/>
        <v>7.333333333</v>
      </c>
      <c r="J23" s="68" t="s">
        <v>74</v>
      </c>
      <c r="K23" s="34">
        <v>61900.0</v>
      </c>
      <c r="L23" s="65">
        <f>6.4+25.8+5370.07</f>
        <v>5402.27</v>
      </c>
      <c r="M23" s="65">
        <v>609.1</v>
      </c>
      <c r="N23" s="65">
        <v>525.0</v>
      </c>
      <c r="O23" s="35">
        <f t="shared" si="2"/>
        <v>0</v>
      </c>
      <c r="P23" s="35">
        <f t="shared" si="3"/>
        <v>4529.15</v>
      </c>
      <c r="Q23" s="36">
        <f t="shared" si="4"/>
        <v>0.075620968</v>
      </c>
      <c r="R23" s="36">
        <f t="shared" si="5"/>
        <v>0.924379032</v>
      </c>
      <c r="S23" s="37"/>
      <c r="T23" s="5"/>
      <c r="U23" s="54"/>
      <c r="V23" s="55"/>
      <c r="W23" s="55"/>
      <c r="X23" s="56"/>
      <c r="Y23" s="55"/>
      <c r="Z23" s="55"/>
      <c r="AA23" s="57"/>
      <c r="AB23" s="5"/>
      <c r="AC23" s="42">
        <f t="shared" si="6"/>
        <v>0</v>
      </c>
      <c r="AD23" s="3">
        <f t="shared" si="7"/>
        <v>1</v>
      </c>
      <c r="AE23" s="3">
        <f t="shared" si="8"/>
        <v>0</v>
      </c>
      <c r="AF23" s="43">
        <f t="shared" si="9"/>
        <v>0</v>
      </c>
      <c r="AG23" s="44">
        <f t="shared" si="10"/>
        <v>0</v>
      </c>
      <c r="AH23" s="45">
        <f t="shared" si="11"/>
        <v>0</v>
      </c>
      <c r="AI23" s="46">
        <f t="shared" si="12"/>
        <v>0</v>
      </c>
      <c r="AJ23" s="47">
        <f t="shared" si="13"/>
        <v>0</v>
      </c>
      <c r="AK23" s="5"/>
      <c r="AL23" s="42">
        <f t="shared" si="14"/>
        <v>1</v>
      </c>
      <c r="AM23" s="3">
        <f t="shared" si="15"/>
        <v>1</v>
      </c>
      <c r="AN23" s="3">
        <f t="shared" si="16"/>
        <v>1</v>
      </c>
      <c r="AO23" s="3">
        <f t="shared" si="17"/>
        <v>1134.1</v>
      </c>
      <c r="AP23" s="44">
        <f t="shared" si="18"/>
        <v>59892.78</v>
      </c>
      <c r="AQ23" s="48">
        <f t="shared" si="19"/>
        <v>7.333333333</v>
      </c>
      <c r="AR23" s="46">
        <f t="shared" si="20"/>
        <v>0.01050649251</v>
      </c>
      <c r="AS23" s="47">
        <f t="shared" si="21"/>
        <v>0.000794511134</v>
      </c>
      <c r="AT23" s="5"/>
      <c r="AU23" s="49">
        <f t="shared" si="27"/>
        <v>59892.78</v>
      </c>
      <c r="AV23" s="50">
        <f t="shared" si="23"/>
        <v>1</v>
      </c>
      <c r="AW23" s="51">
        <f t="shared" si="24"/>
        <v>0.005810988347</v>
      </c>
      <c r="AX23" s="52">
        <f t="shared" si="25"/>
        <v>0.0004394325639</v>
      </c>
      <c r="AY23" s="5"/>
      <c r="AZ23" s="53">
        <f t="shared" si="26"/>
        <v>1</v>
      </c>
      <c r="BA23" s="5"/>
      <c r="BB23" s="5"/>
      <c r="BC23" s="5"/>
    </row>
    <row r="24" ht="12.75" customHeight="1">
      <c r="A24" s="69"/>
      <c r="B24" s="62" t="s">
        <v>75</v>
      </c>
      <c r="C24" s="62"/>
      <c r="D24" s="63">
        <v>25438.99</v>
      </c>
      <c r="E24" s="29" t="s">
        <v>49</v>
      </c>
      <c r="F24" s="30">
        <v>39416.0</v>
      </c>
      <c r="G24" s="59" t="s">
        <v>40</v>
      </c>
      <c r="H24" s="30">
        <v>40087.0</v>
      </c>
      <c r="I24" s="32">
        <f t="shared" si="1"/>
        <v>22.36666667</v>
      </c>
      <c r="J24" s="64" t="s">
        <v>66</v>
      </c>
      <c r="K24" s="34">
        <v>25500.0</v>
      </c>
      <c r="L24" s="65">
        <f>25.02+5.54+32.4+12.88+26+4.1+931.39</f>
        <v>1037.33</v>
      </c>
      <c r="M24" s="65">
        <f>380.43+368.08</f>
        <v>748.51</v>
      </c>
      <c r="N24" s="65">
        <v>900.0</v>
      </c>
      <c r="O24" s="35">
        <f t="shared" si="2"/>
        <v>0</v>
      </c>
      <c r="P24" s="35">
        <f t="shared" si="3"/>
        <v>2624.83</v>
      </c>
      <c r="Q24" s="36">
        <f t="shared" si="4"/>
        <v>0.1031813763</v>
      </c>
      <c r="R24" s="36">
        <f t="shared" si="5"/>
        <v>0.8968186237</v>
      </c>
      <c r="S24" s="37"/>
      <c r="T24" s="5"/>
      <c r="U24" s="54"/>
      <c r="V24" s="55"/>
      <c r="W24" s="55"/>
      <c r="X24" s="56"/>
      <c r="Y24" s="55"/>
      <c r="Z24" s="55"/>
      <c r="AA24" s="57"/>
      <c r="AB24" s="5"/>
      <c r="AC24" s="42">
        <f t="shared" si="6"/>
        <v>1</v>
      </c>
      <c r="AD24" s="3">
        <f t="shared" si="7"/>
        <v>1</v>
      </c>
      <c r="AE24" s="3">
        <f t="shared" si="8"/>
        <v>1</v>
      </c>
      <c r="AF24" s="43">
        <f t="shared" si="9"/>
        <v>1648.51</v>
      </c>
      <c r="AG24" s="44">
        <f t="shared" si="10"/>
        <v>25438.99</v>
      </c>
      <c r="AH24" s="45">
        <f t="shared" si="11"/>
        <v>22.36666667</v>
      </c>
      <c r="AI24" s="46">
        <f t="shared" si="12"/>
        <v>0.005505075119</v>
      </c>
      <c r="AJ24" s="47">
        <f t="shared" si="13"/>
        <v>0.0005680212274</v>
      </c>
      <c r="AK24" s="5"/>
      <c r="AL24" s="42">
        <f t="shared" si="14"/>
        <v>0</v>
      </c>
      <c r="AM24" s="3">
        <f t="shared" si="15"/>
        <v>1</v>
      </c>
      <c r="AN24" s="3">
        <f t="shared" si="16"/>
        <v>0</v>
      </c>
      <c r="AO24" s="3">
        <f t="shared" si="17"/>
        <v>0</v>
      </c>
      <c r="AP24" s="44">
        <f t="shared" si="18"/>
        <v>0</v>
      </c>
      <c r="AQ24" s="48">
        <f t="shared" si="19"/>
        <v>0</v>
      </c>
      <c r="AR24" s="46">
        <f t="shared" si="20"/>
        <v>0</v>
      </c>
      <c r="AS24" s="47">
        <f t="shared" si="21"/>
        <v>0</v>
      </c>
      <c r="AT24" s="5"/>
      <c r="AU24" s="49">
        <f t="shared" si="27"/>
        <v>25438.99</v>
      </c>
      <c r="AV24" s="50">
        <f t="shared" si="23"/>
        <v>1</v>
      </c>
      <c r="AW24" s="51">
        <f t="shared" si="24"/>
        <v>0.002468171864</v>
      </c>
      <c r="AX24" s="52">
        <f t="shared" si="25"/>
        <v>0.0002546693699</v>
      </c>
      <c r="AY24" s="5"/>
      <c r="AZ24" s="53">
        <f t="shared" si="26"/>
        <v>1</v>
      </c>
      <c r="BA24" s="5"/>
      <c r="BB24" s="5"/>
      <c r="BC24" s="5"/>
    </row>
    <row r="25" ht="12.75" customHeight="1">
      <c r="A25" s="25"/>
      <c r="B25" s="62" t="s">
        <v>76</v>
      </c>
      <c r="C25" s="62"/>
      <c r="D25" s="63">
        <v>11902.48</v>
      </c>
      <c r="E25" s="61" t="s">
        <v>39</v>
      </c>
      <c r="F25" s="30">
        <v>39478.0</v>
      </c>
      <c r="G25" s="31" t="s">
        <v>40</v>
      </c>
      <c r="H25" s="30">
        <v>39539.0</v>
      </c>
      <c r="I25" s="32">
        <f t="shared" si="1"/>
        <v>2.033333333</v>
      </c>
      <c r="J25" s="64" t="s">
        <v>77</v>
      </c>
      <c r="K25" s="34">
        <f>D25</f>
        <v>11902.48</v>
      </c>
      <c r="L25" s="65">
        <v>917.59</v>
      </c>
      <c r="M25" s="65">
        <v>0.0</v>
      </c>
      <c r="N25" s="65">
        <v>0.0</v>
      </c>
      <c r="O25" s="35">
        <f t="shared" si="2"/>
        <v>0</v>
      </c>
      <c r="P25" s="35">
        <f t="shared" si="3"/>
        <v>917.59</v>
      </c>
      <c r="Q25" s="36">
        <f t="shared" si="4"/>
        <v>0.07709233706</v>
      </c>
      <c r="R25" s="36">
        <f t="shared" si="5"/>
        <v>0.9229076629</v>
      </c>
      <c r="S25" s="37"/>
      <c r="T25" s="5"/>
      <c r="U25" s="54"/>
      <c r="V25" s="55"/>
      <c r="W25" s="55"/>
      <c r="X25" s="56"/>
      <c r="Y25" s="55"/>
      <c r="Z25" s="55"/>
      <c r="AA25" s="57"/>
      <c r="AB25" s="5"/>
      <c r="AC25" s="42">
        <f t="shared" si="6"/>
        <v>0</v>
      </c>
      <c r="AD25" s="3">
        <f t="shared" si="7"/>
        <v>1</v>
      </c>
      <c r="AE25" s="3">
        <f t="shared" si="8"/>
        <v>0</v>
      </c>
      <c r="AF25" s="43">
        <f t="shared" si="9"/>
        <v>0</v>
      </c>
      <c r="AG25" s="44">
        <f t="shared" si="10"/>
        <v>0</v>
      </c>
      <c r="AH25" s="45">
        <f t="shared" si="11"/>
        <v>0</v>
      </c>
      <c r="AI25" s="46">
        <f t="shared" si="12"/>
        <v>0</v>
      </c>
      <c r="AJ25" s="47">
        <f t="shared" si="13"/>
        <v>0</v>
      </c>
      <c r="AK25" s="5"/>
      <c r="AL25" s="42">
        <f t="shared" si="14"/>
        <v>1</v>
      </c>
      <c r="AM25" s="3">
        <f t="shared" si="15"/>
        <v>1</v>
      </c>
      <c r="AN25" s="3">
        <f t="shared" si="16"/>
        <v>1</v>
      </c>
      <c r="AO25" s="3">
        <f t="shared" si="17"/>
        <v>0</v>
      </c>
      <c r="AP25" s="44">
        <f t="shared" si="18"/>
        <v>11902.48</v>
      </c>
      <c r="AQ25" s="48">
        <f t="shared" si="19"/>
        <v>2.033333333</v>
      </c>
      <c r="AR25" s="46">
        <f t="shared" si="20"/>
        <v>0.002087953122</v>
      </c>
      <c r="AS25" s="47">
        <f t="shared" si="21"/>
        <v>0.0001609651858</v>
      </c>
      <c r="AT25" s="5"/>
      <c r="AU25" s="49">
        <f t="shared" si="27"/>
        <v>11902.48</v>
      </c>
      <c r="AV25" s="50">
        <f t="shared" si="23"/>
        <v>1</v>
      </c>
      <c r="AW25" s="51">
        <f t="shared" si="24"/>
        <v>0.001154816533</v>
      </c>
      <c r="AX25" s="52">
        <f t="shared" si="25"/>
        <v>0.00008902750544</v>
      </c>
      <c r="AY25" s="5"/>
      <c r="AZ25" s="53">
        <f t="shared" si="26"/>
        <v>1</v>
      </c>
      <c r="BA25" s="5"/>
      <c r="BB25" s="5"/>
      <c r="BC25" s="5"/>
    </row>
    <row r="26" ht="12.75" customHeight="1">
      <c r="A26" s="25"/>
      <c r="B26" s="62" t="s">
        <v>78</v>
      </c>
      <c r="C26" s="62"/>
      <c r="D26" s="63">
        <v>10170.0</v>
      </c>
      <c r="E26" s="61" t="s">
        <v>39</v>
      </c>
      <c r="F26" s="30">
        <v>39478.0</v>
      </c>
      <c r="G26" s="59" t="s">
        <v>40</v>
      </c>
      <c r="H26" s="30">
        <v>39568.0</v>
      </c>
      <c r="I26" s="32">
        <f t="shared" si="1"/>
        <v>3</v>
      </c>
      <c r="J26" s="68" t="s">
        <v>79</v>
      </c>
      <c r="K26" s="34">
        <v>9386.95</v>
      </c>
      <c r="L26" s="65">
        <v>778.4</v>
      </c>
      <c r="M26" s="65">
        <v>0.0</v>
      </c>
      <c r="N26" s="65">
        <v>0.0</v>
      </c>
      <c r="O26" s="35">
        <f t="shared" si="2"/>
        <v>783.05</v>
      </c>
      <c r="P26" s="35">
        <f t="shared" si="3"/>
        <v>1561.45</v>
      </c>
      <c r="Q26" s="36">
        <f t="shared" si="4"/>
        <v>0.1535349066</v>
      </c>
      <c r="R26" s="36">
        <f t="shared" si="5"/>
        <v>0.8464650934</v>
      </c>
      <c r="S26" s="37"/>
      <c r="T26" s="5"/>
      <c r="U26" s="54"/>
      <c r="V26" s="55"/>
      <c r="W26" s="55"/>
      <c r="X26" s="56"/>
      <c r="Y26" s="55"/>
      <c r="Z26" s="55"/>
      <c r="AA26" s="57"/>
      <c r="AB26" s="5"/>
      <c r="AC26" s="42">
        <f t="shared" si="6"/>
        <v>0</v>
      </c>
      <c r="AD26" s="3">
        <f t="shared" si="7"/>
        <v>1</v>
      </c>
      <c r="AE26" s="3">
        <f t="shared" si="8"/>
        <v>0</v>
      </c>
      <c r="AF26" s="43">
        <f t="shared" si="9"/>
        <v>0</v>
      </c>
      <c r="AG26" s="44">
        <f t="shared" si="10"/>
        <v>0</v>
      </c>
      <c r="AH26" s="45">
        <f t="shared" si="11"/>
        <v>0</v>
      </c>
      <c r="AI26" s="46">
        <f t="shared" si="12"/>
        <v>0</v>
      </c>
      <c r="AJ26" s="47">
        <f t="shared" si="13"/>
        <v>0</v>
      </c>
      <c r="AK26" s="5"/>
      <c r="AL26" s="42">
        <f t="shared" si="14"/>
        <v>1</v>
      </c>
      <c r="AM26" s="3">
        <f t="shared" si="15"/>
        <v>1</v>
      </c>
      <c r="AN26" s="3">
        <f t="shared" si="16"/>
        <v>1</v>
      </c>
      <c r="AO26" s="3">
        <f t="shared" si="17"/>
        <v>0</v>
      </c>
      <c r="AP26" s="44">
        <f t="shared" si="18"/>
        <v>10170</v>
      </c>
      <c r="AQ26" s="48">
        <f t="shared" si="19"/>
        <v>3</v>
      </c>
      <c r="AR26" s="46">
        <f t="shared" si="20"/>
        <v>0.001784038558</v>
      </c>
      <c r="AS26" s="47">
        <f t="shared" si="21"/>
        <v>0.0002739121933</v>
      </c>
      <c r="AT26" s="5"/>
      <c r="AU26" s="49">
        <f t="shared" si="27"/>
        <v>10170</v>
      </c>
      <c r="AV26" s="50">
        <f t="shared" si="23"/>
        <v>1</v>
      </c>
      <c r="AW26" s="51">
        <f t="shared" si="24"/>
        <v>0.0009867258038</v>
      </c>
      <c r="AX26" s="52">
        <f t="shared" si="25"/>
        <v>0.0001514968541</v>
      </c>
      <c r="AY26" s="5"/>
      <c r="AZ26" s="53">
        <f t="shared" si="26"/>
        <v>1</v>
      </c>
      <c r="BA26" s="5"/>
      <c r="BB26" s="5"/>
      <c r="BC26" s="5"/>
    </row>
    <row r="27" ht="12.75" customHeight="1">
      <c r="A27" s="25"/>
      <c r="B27" s="62" t="s">
        <v>80</v>
      </c>
      <c r="C27" s="62"/>
      <c r="D27" s="63">
        <v>26695.24</v>
      </c>
      <c r="E27" s="29" t="s">
        <v>49</v>
      </c>
      <c r="F27" s="30">
        <v>39479.0</v>
      </c>
      <c r="G27" s="66" t="s">
        <v>40</v>
      </c>
      <c r="H27" s="30">
        <v>39873.0</v>
      </c>
      <c r="I27" s="32">
        <f t="shared" si="1"/>
        <v>13.13333333</v>
      </c>
      <c r="J27" s="64" t="s">
        <v>66</v>
      </c>
      <c r="K27" s="34">
        <v>27000.0</v>
      </c>
      <c r="L27" s="65">
        <f>106.29+23.49+169.56+60.57+117+18.27+1455.3</f>
        <v>1950.48</v>
      </c>
      <c r="M27" s="65">
        <f>261.96+8.86</f>
        <v>270.82</v>
      </c>
      <c r="N27" s="65">
        <f>202.8+7.78</f>
        <v>210.58</v>
      </c>
      <c r="O27" s="35">
        <v>0.0</v>
      </c>
      <c r="P27" s="35">
        <f t="shared" si="3"/>
        <v>2127.12</v>
      </c>
      <c r="Q27" s="36">
        <f t="shared" si="4"/>
        <v>0.07968162114</v>
      </c>
      <c r="R27" s="36">
        <f t="shared" si="5"/>
        <v>0.9203183789</v>
      </c>
      <c r="S27" s="37"/>
      <c r="T27" s="5"/>
      <c r="U27" s="54"/>
      <c r="V27" s="55"/>
      <c r="W27" s="55"/>
      <c r="X27" s="56"/>
      <c r="Y27" s="55"/>
      <c r="Z27" s="55"/>
      <c r="AA27" s="57"/>
      <c r="AB27" s="5"/>
      <c r="AC27" s="42">
        <f t="shared" si="6"/>
        <v>1</v>
      </c>
      <c r="AD27" s="3">
        <f t="shared" si="7"/>
        <v>1</v>
      </c>
      <c r="AE27" s="3">
        <f t="shared" si="8"/>
        <v>1</v>
      </c>
      <c r="AF27" s="43">
        <f t="shared" si="9"/>
        <v>481.4</v>
      </c>
      <c r="AG27" s="44">
        <f t="shared" si="10"/>
        <v>26695.24</v>
      </c>
      <c r="AH27" s="45">
        <f t="shared" si="11"/>
        <v>13.13333333</v>
      </c>
      <c r="AI27" s="46">
        <f t="shared" si="12"/>
        <v>0.005776931455</v>
      </c>
      <c r="AJ27" s="47">
        <f t="shared" si="13"/>
        <v>0.0004603152636</v>
      </c>
      <c r="AK27" s="5"/>
      <c r="AL27" s="42">
        <f t="shared" si="14"/>
        <v>0</v>
      </c>
      <c r="AM27" s="3">
        <f t="shared" si="15"/>
        <v>1</v>
      </c>
      <c r="AN27" s="3">
        <f t="shared" si="16"/>
        <v>0</v>
      </c>
      <c r="AO27" s="3">
        <f t="shared" si="17"/>
        <v>0</v>
      </c>
      <c r="AP27" s="44">
        <f t="shared" si="18"/>
        <v>0</v>
      </c>
      <c r="AQ27" s="48">
        <f t="shared" si="19"/>
        <v>0</v>
      </c>
      <c r="AR27" s="46">
        <f t="shared" si="20"/>
        <v>0</v>
      </c>
      <c r="AS27" s="47">
        <f t="shared" si="21"/>
        <v>0</v>
      </c>
      <c r="AT27" s="5"/>
      <c r="AU27" s="49">
        <f t="shared" si="27"/>
        <v>26695.24</v>
      </c>
      <c r="AV27" s="50">
        <f t="shared" si="23"/>
        <v>1</v>
      </c>
      <c r="AW27" s="51">
        <f t="shared" si="24"/>
        <v>0.002590057242</v>
      </c>
      <c r="AX27" s="52">
        <f t="shared" si="25"/>
        <v>0.0002063799599</v>
      </c>
      <c r="AY27" s="5"/>
      <c r="AZ27" s="53">
        <f t="shared" si="26"/>
        <v>1</v>
      </c>
      <c r="BA27" s="5"/>
      <c r="BB27" s="5"/>
      <c r="BC27" s="5"/>
    </row>
    <row r="28" ht="12.75" customHeight="1">
      <c r="A28" s="25"/>
      <c r="B28" s="62" t="s">
        <v>81</v>
      </c>
      <c r="C28" s="62"/>
      <c r="D28" s="63">
        <v>53607.54</v>
      </c>
      <c r="E28" s="61" t="s">
        <v>49</v>
      </c>
      <c r="F28" s="30">
        <v>39486.0</v>
      </c>
      <c r="G28" s="59" t="s">
        <v>40</v>
      </c>
      <c r="H28" s="30">
        <v>39752.0</v>
      </c>
      <c r="I28" s="32">
        <f t="shared" si="1"/>
        <v>8.866666667</v>
      </c>
      <c r="J28" s="64" t="s">
        <v>82</v>
      </c>
      <c r="K28" s="34">
        <v>60000.0</v>
      </c>
      <c r="L28" s="65">
        <v>6281.89</v>
      </c>
      <c r="M28" s="65">
        <v>0.0</v>
      </c>
      <c r="N28" s="65">
        <v>679.31</v>
      </c>
      <c r="O28" s="35">
        <v>0.0</v>
      </c>
      <c r="P28" s="35">
        <f t="shared" si="3"/>
        <v>568.74</v>
      </c>
      <c r="Q28" s="36">
        <f t="shared" si="4"/>
        <v>0.01060932846</v>
      </c>
      <c r="R28" s="36">
        <f t="shared" si="5"/>
        <v>0.9893906715</v>
      </c>
      <c r="S28" s="37"/>
      <c r="T28" s="5"/>
      <c r="U28" s="54"/>
      <c r="V28" s="55"/>
      <c r="W28" s="55"/>
      <c r="X28" s="56"/>
      <c r="Y28" s="55"/>
      <c r="Z28" s="55"/>
      <c r="AA28" s="57"/>
      <c r="AB28" s="5"/>
      <c r="AC28" s="42">
        <f t="shared" si="6"/>
        <v>1</v>
      </c>
      <c r="AD28" s="3">
        <f t="shared" si="7"/>
        <v>1</v>
      </c>
      <c r="AE28" s="3">
        <f t="shared" si="8"/>
        <v>1</v>
      </c>
      <c r="AF28" s="43">
        <f t="shared" si="9"/>
        <v>679.31</v>
      </c>
      <c r="AG28" s="44">
        <f t="shared" si="10"/>
        <v>53607.54</v>
      </c>
      <c r="AH28" s="45">
        <f t="shared" si="11"/>
        <v>8.866666667</v>
      </c>
      <c r="AI28" s="46">
        <f t="shared" si="12"/>
        <v>0.01160083536</v>
      </c>
      <c r="AJ28" s="47">
        <f t="shared" si="13"/>
        <v>0.0001230770728</v>
      </c>
      <c r="AK28" s="5"/>
      <c r="AL28" s="42">
        <f t="shared" si="14"/>
        <v>0</v>
      </c>
      <c r="AM28" s="3">
        <f t="shared" si="15"/>
        <v>1</v>
      </c>
      <c r="AN28" s="3">
        <f t="shared" si="16"/>
        <v>0</v>
      </c>
      <c r="AO28" s="3">
        <f t="shared" si="17"/>
        <v>0</v>
      </c>
      <c r="AP28" s="44">
        <f t="shared" si="18"/>
        <v>0</v>
      </c>
      <c r="AQ28" s="48">
        <f t="shared" si="19"/>
        <v>0</v>
      </c>
      <c r="AR28" s="46">
        <f t="shared" si="20"/>
        <v>0</v>
      </c>
      <c r="AS28" s="47">
        <f t="shared" si="21"/>
        <v>0</v>
      </c>
      <c r="AT28" s="5"/>
      <c r="AU28" s="49">
        <f t="shared" si="27"/>
        <v>53607.54</v>
      </c>
      <c r="AV28" s="50">
        <f t="shared" si="23"/>
        <v>1</v>
      </c>
      <c r="AW28" s="51">
        <f t="shared" si="24"/>
        <v>0.005201174336</v>
      </c>
      <c r="AX28" s="52">
        <f t="shared" si="25"/>
        <v>0.00005518096693</v>
      </c>
      <c r="AY28" s="5"/>
      <c r="AZ28" s="53">
        <f t="shared" si="26"/>
        <v>1</v>
      </c>
      <c r="BA28" s="5"/>
      <c r="BB28" s="5"/>
      <c r="BC28" s="5"/>
    </row>
    <row r="29" ht="12.75" customHeight="1">
      <c r="A29" s="25"/>
      <c r="B29" s="62" t="s">
        <v>83</v>
      </c>
      <c r="C29" s="62"/>
      <c r="D29" s="63">
        <v>17822.86</v>
      </c>
      <c r="E29" s="61" t="s">
        <v>39</v>
      </c>
      <c r="F29" s="30">
        <v>39515.0</v>
      </c>
      <c r="G29" s="66" t="s">
        <v>40</v>
      </c>
      <c r="H29" s="30">
        <v>39576.0</v>
      </c>
      <c r="I29" s="32">
        <f t="shared" si="1"/>
        <v>2.033333333</v>
      </c>
      <c r="J29" s="64" t="s">
        <v>84</v>
      </c>
      <c r="K29" s="34">
        <v>18500.0</v>
      </c>
      <c r="L29" s="65">
        <f>23.37+5.16+34.2+13.86+39+5.73+1270.01</f>
        <v>1391.33</v>
      </c>
      <c r="M29" s="65">
        <v>0.0</v>
      </c>
      <c r="N29" s="65">
        <v>0.0</v>
      </c>
      <c r="O29" s="35">
        <f t="shared" ref="O29:O35" si="28">IF(K29="N/A",0,IF(K29-D29&gt;0,0,D29-K29))</f>
        <v>0</v>
      </c>
      <c r="P29" s="35">
        <f t="shared" si="3"/>
        <v>714.19</v>
      </c>
      <c r="Q29" s="36">
        <f t="shared" si="4"/>
        <v>0.040071571</v>
      </c>
      <c r="R29" s="36">
        <f t="shared" si="5"/>
        <v>0.959928429</v>
      </c>
      <c r="S29" s="37"/>
      <c r="T29" s="5"/>
      <c r="U29" s="54"/>
      <c r="V29" s="55"/>
      <c r="W29" s="55"/>
      <c r="X29" s="56"/>
      <c r="Y29" s="55"/>
      <c r="Z29" s="55"/>
      <c r="AA29" s="57"/>
      <c r="AB29" s="5"/>
      <c r="AC29" s="42">
        <f t="shared" si="6"/>
        <v>0</v>
      </c>
      <c r="AD29" s="3">
        <f t="shared" si="7"/>
        <v>1</v>
      </c>
      <c r="AE29" s="3">
        <f t="shared" si="8"/>
        <v>0</v>
      </c>
      <c r="AF29" s="43">
        <f t="shared" si="9"/>
        <v>0</v>
      </c>
      <c r="AG29" s="44">
        <f t="shared" si="10"/>
        <v>0</v>
      </c>
      <c r="AH29" s="45">
        <f t="shared" si="11"/>
        <v>0</v>
      </c>
      <c r="AI29" s="46">
        <f t="shared" si="12"/>
        <v>0</v>
      </c>
      <c r="AJ29" s="47">
        <f t="shared" si="13"/>
        <v>0</v>
      </c>
      <c r="AK29" s="5"/>
      <c r="AL29" s="42">
        <f t="shared" si="14"/>
        <v>1</v>
      </c>
      <c r="AM29" s="3">
        <f t="shared" si="15"/>
        <v>1</v>
      </c>
      <c r="AN29" s="3">
        <f t="shared" si="16"/>
        <v>1</v>
      </c>
      <c r="AO29" s="3">
        <f t="shared" si="17"/>
        <v>0</v>
      </c>
      <c r="AP29" s="44">
        <f t="shared" si="18"/>
        <v>17822.86</v>
      </c>
      <c r="AQ29" s="48">
        <f t="shared" si="19"/>
        <v>2.033333333</v>
      </c>
      <c r="AR29" s="46">
        <f t="shared" si="20"/>
        <v>0.00312651617</v>
      </c>
      <c r="AS29" s="47">
        <f t="shared" si="21"/>
        <v>0.0001252844147</v>
      </c>
      <c r="AT29" s="5"/>
      <c r="AU29" s="49">
        <f t="shared" si="27"/>
        <v>17822.86</v>
      </c>
      <c r="AV29" s="50">
        <f t="shared" si="23"/>
        <v>1</v>
      </c>
      <c r="AW29" s="51">
        <f t="shared" si="24"/>
        <v>0.001729230665</v>
      </c>
      <c r="AX29" s="52">
        <f t="shared" si="25"/>
        <v>0.00006929298936</v>
      </c>
      <c r="AY29" s="5"/>
      <c r="AZ29" s="53">
        <f t="shared" si="26"/>
        <v>1</v>
      </c>
      <c r="BA29" s="5"/>
      <c r="BB29" s="5"/>
      <c r="BC29" s="5"/>
    </row>
    <row r="30" ht="12.75" customHeight="1">
      <c r="A30" s="25"/>
      <c r="B30" s="62" t="s">
        <v>85</v>
      </c>
      <c r="C30" s="62"/>
      <c r="D30" s="63">
        <v>55117.82</v>
      </c>
      <c r="E30" s="61" t="s">
        <v>49</v>
      </c>
      <c r="F30" s="30">
        <v>39515.0</v>
      </c>
      <c r="G30" s="32" t="s">
        <v>40</v>
      </c>
      <c r="H30" s="30">
        <v>41152.0</v>
      </c>
      <c r="I30" s="32">
        <f t="shared" si="1"/>
        <v>54.56666667</v>
      </c>
      <c r="J30" s="64" t="s">
        <v>86</v>
      </c>
      <c r="K30" s="70">
        <v>75000.0</v>
      </c>
      <c r="L30" s="65">
        <v>5057.89</v>
      </c>
      <c r="M30" s="65">
        <f>3895.6</f>
        <v>3895.6</v>
      </c>
      <c r="N30" s="65">
        <f>1341.81+7.39</f>
        <v>1349.2</v>
      </c>
      <c r="O30" s="35">
        <f t="shared" si="28"/>
        <v>0</v>
      </c>
      <c r="P30" s="35">
        <f t="shared" si="3"/>
        <v>0</v>
      </c>
      <c r="Q30" s="36">
        <f t="shared" si="4"/>
        <v>0</v>
      </c>
      <c r="R30" s="36">
        <f t="shared" si="5"/>
        <v>1</v>
      </c>
      <c r="S30" s="37"/>
      <c r="T30" s="5"/>
      <c r="U30" s="54"/>
      <c r="V30" s="55"/>
      <c r="W30" s="55"/>
      <c r="X30" s="56"/>
      <c r="Y30" s="55"/>
      <c r="Z30" s="55"/>
      <c r="AA30" s="57"/>
      <c r="AB30" s="5"/>
      <c r="AC30" s="42">
        <f t="shared" si="6"/>
        <v>1</v>
      </c>
      <c r="AD30" s="3">
        <f t="shared" si="7"/>
        <v>1</v>
      </c>
      <c r="AE30" s="3">
        <f t="shared" si="8"/>
        <v>1</v>
      </c>
      <c r="AF30" s="43">
        <f t="shared" si="9"/>
        <v>5244.8</v>
      </c>
      <c r="AG30" s="44">
        <f t="shared" si="10"/>
        <v>55117.82</v>
      </c>
      <c r="AH30" s="45">
        <f t="shared" si="11"/>
        <v>54.56666667</v>
      </c>
      <c r="AI30" s="46">
        <f t="shared" si="12"/>
        <v>0.01192766456</v>
      </c>
      <c r="AJ30" s="47">
        <f t="shared" si="13"/>
        <v>0</v>
      </c>
      <c r="AK30" s="5"/>
      <c r="AL30" s="42">
        <f t="shared" si="14"/>
        <v>0</v>
      </c>
      <c r="AM30" s="3">
        <f t="shared" si="15"/>
        <v>1</v>
      </c>
      <c r="AN30" s="3">
        <f t="shared" si="16"/>
        <v>0</v>
      </c>
      <c r="AO30" s="3">
        <f t="shared" si="17"/>
        <v>0</v>
      </c>
      <c r="AP30" s="44">
        <f t="shared" si="18"/>
        <v>0</v>
      </c>
      <c r="AQ30" s="48">
        <f t="shared" si="19"/>
        <v>0</v>
      </c>
      <c r="AR30" s="46">
        <f t="shared" si="20"/>
        <v>0</v>
      </c>
      <c r="AS30" s="47">
        <f t="shared" si="21"/>
        <v>0</v>
      </c>
      <c r="AT30" s="5"/>
      <c r="AU30" s="49">
        <f t="shared" si="27"/>
        <v>55117.82</v>
      </c>
      <c r="AV30" s="50">
        <f t="shared" si="23"/>
        <v>1</v>
      </c>
      <c r="AW30" s="51">
        <f t="shared" si="24"/>
        <v>0.005347706514</v>
      </c>
      <c r="AX30" s="52">
        <f t="shared" si="25"/>
        <v>0</v>
      </c>
      <c r="AY30" s="5"/>
      <c r="AZ30" s="53">
        <f t="shared" si="26"/>
        <v>1</v>
      </c>
      <c r="BA30" s="5"/>
      <c r="BB30" s="5"/>
      <c r="BC30" s="5"/>
    </row>
    <row r="31" ht="12.75" customHeight="1">
      <c r="A31" s="25"/>
      <c r="B31" s="62" t="s">
        <v>87</v>
      </c>
      <c r="C31" s="62"/>
      <c r="D31" s="71">
        <v>20614.23</v>
      </c>
      <c r="E31" s="61" t="s">
        <v>39</v>
      </c>
      <c r="F31" s="30">
        <v>39574.0</v>
      </c>
      <c r="G31" s="72" t="s">
        <v>40</v>
      </c>
      <c r="H31" s="30">
        <v>39625.0</v>
      </c>
      <c r="I31" s="32">
        <f t="shared" si="1"/>
        <v>1.7</v>
      </c>
      <c r="J31" s="64" t="s">
        <v>88</v>
      </c>
      <c r="K31" s="70">
        <v>18000.0</v>
      </c>
      <c r="L31" s="65">
        <f>66.71+14.77+58.24+91+13.72+1119.61</f>
        <v>1364.05</v>
      </c>
      <c r="M31" s="65">
        <v>0.0</v>
      </c>
      <c r="N31" s="65">
        <v>0.0</v>
      </c>
      <c r="O31" s="35">
        <f t="shared" si="28"/>
        <v>2614.23</v>
      </c>
      <c r="P31" s="35">
        <f t="shared" si="3"/>
        <v>3978.28</v>
      </c>
      <c r="Q31" s="36">
        <f t="shared" si="4"/>
        <v>0.1929870774</v>
      </c>
      <c r="R31" s="36">
        <f t="shared" si="5"/>
        <v>0.8070129226</v>
      </c>
      <c r="S31" s="73"/>
      <c r="T31" s="74"/>
      <c r="U31" s="75"/>
      <c r="V31" s="76"/>
      <c r="W31" s="76"/>
      <c r="X31" s="77"/>
      <c r="Y31" s="76"/>
      <c r="Z31" s="76"/>
      <c r="AA31" s="78"/>
      <c r="AB31" s="74"/>
      <c r="AC31" s="42">
        <f t="shared" si="6"/>
        <v>0</v>
      </c>
      <c r="AD31" s="3">
        <f t="shared" si="7"/>
        <v>1</v>
      </c>
      <c r="AE31" s="3">
        <f t="shared" si="8"/>
        <v>0</v>
      </c>
      <c r="AF31" s="43">
        <f t="shared" si="9"/>
        <v>0</v>
      </c>
      <c r="AG31" s="44">
        <f t="shared" si="10"/>
        <v>0</v>
      </c>
      <c r="AH31" s="45">
        <f t="shared" si="11"/>
        <v>0</v>
      </c>
      <c r="AI31" s="46">
        <f t="shared" si="12"/>
        <v>0</v>
      </c>
      <c r="AJ31" s="47">
        <f t="shared" si="13"/>
        <v>0</v>
      </c>
      <c r="AK31" s="5"/>
      <c r="AL31" s="42">
        <f t="shared" si="14"/>
        <v>1</v>
      </c>
      <c r="AM31" s="3">
        <f t="shared" si="15"/>
        <v>1</v>
      </c>
      <c r="AN31" s="3">
        <f t="shared" si="16"/>
        <v>1</v>
      </c>
      <c r="AO31" s="3">
        <f t="shared" si="17"/>
        <v>0</v>
      </c>
      <c r="AP31" s="44">
        <f t="shared" si="18"/>
        <v>20614.23</v>
      </c>
      <c r="AQ31" s="48">
        <f t="shared" si="19"/>
        <v>1.7</v>
      </c>
      <c r="AR31" s="46">
        <f t="shared" si="20"/>
        <v>0.003616183004</v>
      </c>
      <c r="AS31" s="47">
        <f t="shared" si="21"/>
        <v>0.0006978765892</v>
      </c>
      <c r="AT31" s="5"/>
      <c r="AU31" s="49">
        <f t="shared" si="27"/>
        <v>20614.23</v>
      </c>
      <c r="AV31" s="50">
        <f t="shared" si="23"/>
        <v>1</v>
      </c>
      <c r="AW31" s="51">
        <f t="shared" si="24"/>
        <v>0.002000058276</v>
      </c>
      <c r="AX31" s="52">
        <f t="shared" si="25"/>
        <v>0.0003859854013</v>
      </c>
      <c r="AY31" s="5"/>
      <c r="AZ31" s="53">
        <f t="shared" si="26"/>
        <v>1</v>
      </c>
      <c r="BA31" s="5"/>
      <c r="BB31" s="5"/>
      <c r="BC31" s="5"/>
    </row>
    <row r="32" ht="12.75" customHeight="1">
      <c r="A32" s="25"/>
      <c r="B32" s="62" t="s">
        <v>89</v>
      </c>
      <c r="C32" s="62"/>
      <c r="D32" s="71">
        <v>9494.68</v>
      </c>
      <c r="E32" s="61" t="s">
        <v>39</v>
      </c>
      <c r="F32" s="30">
        <v>39575.0</v>
      </c>
      <c r="G32" s="32" t="s">
        <v>40</v>
      </c>
      <c r="H32" s="30">
        <v>39625.0</v>
      </c>
      <c r="I32" s="32">
        <f t="shared" si="1"/>
        <v>1.666666667</v>
      </c>
      <c r="J32" s="64" t="s">
        <v>66</v>
      </c>
      <c r="K32" s="70">
        <v>9046.38</v>
      </c>
      <c r="L32" s="65">
        <f>30.78+6.82+116.06+7.36+26+4.26+74.59</f>
        <v>265.87</v>
      </c>
      <c r="M32" s="65">
        <v>0.0</v>
      </c>
      <c r="N32" s="65">
        <v>450.0</v>
      </c>
      <c r="O32" s="35">
        <f t="shared" si="28"/>
        <v>448.3</v>
      </c>
      <c r="P32" s="35">
        <f t="shared" si="3"/>
        <v>1164.17</v>
      </c>
      <c r="Q32" s="36">
        <f t="shared" si="4"/>
        <v>0.1226128737</v>
      </c>
      <c r="R32" s="36">
        <f t="shared" si="5"/>
        <v>0.8773871263</v>
      </c>
      <c r="S32" s="37"/>
      <c r="T32" s="5"/>
      <c r="U32" s="54"/>
      <c r="V32" s="55"/>
      <c r="W32" s="55"/>
      <c r="X32" s="56"/>
      <c r="Y32" s="55"/>
      <c r="Z32" s="55"/>
      <c r="AA32" s="57"/>
      <c r="AB32" s="5"/>
      <c r="AC32" s="42">
        <f t="shared" si="6"/>
        <v>0</v>
      </c>
      <c r="AD32" s="3">
        <f t="shared" si="7"/>
        <v>1</v>
      </c>
      <c r="AE32" s="3">
        <f t="shared" si="8"/>
        <v>0</v>
      </c>
      <c r="AF32" s="43">
        <f t="shared" si="9"/>
        <v>0</v>
      </c>
      <c r="AG32" s="44">
        <f t="shared" si="10"/>
        <v>0</v>
      </c>
      <c r="AH32" s="45">
        <f t="shared" si="11"/>
        <v>0</v>
      </c>
      <c r="AI32" s="46">
        <f t="shared" si="12"/>
        <v>0</v>
      </c>
      <c r="AJ32" s="47">
        <f t="shared" si="13"/>
        <v>0</v>
      </c>
      <c r="AK32" s="5"/>
      <c r="AL32" s="42">
        <f t="shared" si="14"/>
        <v>1</v>
      </c>
      <c r="AM32" s="3">
        <f t="shared" si="15"/>
        <v>1</v>
      </c>
      <c r="AN32" s="3">
        <f t="shared" si="16"/>
        <v>1</v>
      </c>
      <c r="AO32" s="3">
        <f t="shared" si="17"/>
        <v>450</v>
      </c>
      <c r="AP32" s="44">
        <f t="shared" si="18"/>
        <v>9494.68</v>
      </c>
      <c r="AQ32" s="48">
        <f t="shared" si="19"/>
        <v>1.666666667</v>
      </c>
      <c r="AR32" s="46">
        <f t="shared" si="20"/>
        <v>0.001665572784</v>
      </c>
      <c r="AS32" s="47">
        <f t="shared" si="21"/>
        <v>0.0002042206654</v>
      </c>
      <c r="AT32" s="5"/>
      <c r="AU32" s="49">
        <f t="shared" si="27"/>
        <v>9494.68</v>
      </c>
      <c r="AV32" s="50">
        <f t="shared" si="23"/>
        <v>1</v>
      </c>
      <c r="AW32" s="51">
        <f t="shared" si="24"/>
        <v>0.0009212041057</v>
      </c>
      <c r="AX32" s="52">
        <f t="shared" si="25"/>
        <v>0.0001129514827</v>
      </c>
      <c r="AY32" s="5"/>
      <c r="AZ32" s="53">
        <f t="shared" si="26"/>
        <v>1</v>
      </c>
      <c r="BA32" s="5"/>
      <c r="BB32" s="5"/>
      <c r="BC32" s="5"/>
    </row>
    <row r="33" ht="12.75" customHeight="1">
      <c r="A33" s="25"/>
      <c r="B33" s="62" t="s">
        <v>90</v>
      </c>
      <c r="C33" s="62"/>
      <c r="D33" s="63">
        <v>33125.74</v>
      </c>
      <c r="E33" s="29" t="s">
        <v>39</v>
      </c>
      <c r="F33" s="30">
        <v>39576.0</v>
      </c>
      <c r="G33" s="32" t="s">
        <v>40</v>
      </c>
      <c r="H33" s="30">
        <v>39627.0</v>
      </c>
      <c r="I33" s="32">
        <f t="shared" si="1"/>
        <v>1.7</v>
      </c>
      <c r="J33" s="64" t="s">
        <v>91</v>
      </c>
      <c r="K33" s="70">
        <f>D33</f>
        <v>33125.74</v>
      </c>
      <c r="L33" s="65">
        <f>2347.96+431.23</f>
        <v>2779.19</v>
      </c>
      <c r="M33" s="65">
        <v>0.0</v>
      </c>
      <c r="N33" s="65">
        <v>0.0</v>
      </c>
      <c r="O33" s="35">
        <f t="shared" si="28"/>
        <v>0</v>
      </c>
      <c r="P33" s="35">
        <f t="shared" si="3"/>
        <v>2779.19</v>
      </c>
      <c r="Q33" s="36">
        <f t="shared" si="4"/>
        <v>0.08389820122</v>
      </c>
      <c r="R33" s="36">
        <f t="shared" si="5"/>
        <v>0.9161017988</v>
      </c>
      <c r="S33" s="37"/>
      <c r="T33" s="5"/>
      <c r="U33" s="54"/>
      <c r="V33" s="55"/>
      <c r="W33" s="55"/>
      <c r="X33" s="56"/>
      <c r="Y33" s="55"/>
      <c r="Z33" s="55"/>
      <c r="AA33" s="57"/>
      <c r="AB33" s="5"/>
      <c r="AC33" s="42">
        <f t="shared" si="6"/>
        <v>0</v>
      </c>
      <c r="AD33" s="3">
        <f t="shared" si="7"/>
        <v>1</v>
      </c>
      <c r="AE33" s="3">
        <f t="shared" si="8"/>
        <v>0</v>
      </c>
      <c r="AF33" s="43">
        <f t="shared" si="9"/>
        <v>0</v>
      </c>
      <c r="AG33" s="44">
        <f t="shared" si="10"/>
        <v>0</v>
      </c>
      <c r="AH33" s="45">
        <f t="shared" si="11"/>
        <v>0</v>
      </c>
      <c r="AI33" s="46">
        <f t="shared" si="12"/>
        <v>0</v>
      </c>
      <c r="AJ33" s="47">
        <f t="shared" si="13"/>
        <v>0</v>
      </c>
      <c r="AK33" s="5"/>
      <c r="AL33" s="42">
        <f t="shared" si="14"/>
        <v>1</v>
      </c>
      <c r="AM33" s="3">
        <f t="shared" si="15"/>
        <v>1</v>
      </c>
      <c r="AN33" s="3">
        <f t="shared" si="16"/>
        <v>1</v>
      </c>
      <c r="AO33" s="3">
        <f t="shared" si="17"/>
        <v>0</v>
      </c>
      <c r="AP33" s="44">
        <f t="shared" si="18"/>
        <v>33125.74</v>
      </c>
      <c r="AQ33" s="48">
        <f t="shared" si="19"/>
        <v>1.7</v>
      </c>
      <c r="AR33" s="46">
        <f t="shared" si="20"/>
        <v>0.005810973196</v>
      </c>
      <c r="AS33" s="47">
        <f t="shared" si="21"/>
        <v>0.0004875301985</v>
      </c>
      <c r="AT33" s="5"/>
      <c r="AU33" s="49">
        <f t="shared" si="27"/>
        <v>33125.74</v>
      </c>
      <c r="AV33" s="50">
        <f t="shared" si="23"/>
        <v>1</v>
      </c>
      <c r="AW33" s="51">
        <f t="shared" si="24"/>
        <v>0.003213964841</v>
      </c>
      <c r="AX33" s="52">
        <f t="shared" si="25"/>
        <v>0.0002696458689</v>
      </c>
      <c r="AY33" s="5"/>
      <c r="AZ33" s="53">
        <f t="shared" si="26"/>
        <v>1</v>
      </c>
      <c r="BA33" s="5"/>
      <c r="BB33" s="5"/>
      <c r="BC33" s="5"/>
    </row>
    <row r="34" ht="12.75" customHeight="1">
      <c r="A34" s="25"/>
      <c r="B34" s="62" t="s">
        <v>92</v>
      </c>
      <c r="C34" s="62"/>
      <c r="D34" s="63">
        <v>19474.16</v>
      </c>
      <c r="E34" s="61" t="s">
        <v>39</v>
      </c>
      <c r="F34" s="30">
        <v>39629.0</v>
      </c>
      <c r="G34" s="72" t="s">
        <v>40</v>
      </c>
      <c r="H34" s="30">
        <v>39690.0</v>
      </c>
      <c r="I34" s="32">
        <f t="shared" si="1"/>
        <v>2.033333333</v>
      </c>
      <c r="J34" s="64" t="s">
        <v>93</v>
      </c>
      <c r="K34" s="34">
        <v>22000.0</v>
      </c>
      <c r="L34" s="65">
        <f>38.12+8.44+71.8+20.44+52+11.02+1719.36</f>
        <v>1921.18</v>
      </c>
      <c r="M34" s="65">
        <v>0.0</v>
      </c>
      <c r="N34" s="65">
        <v>0.0</v>
      </c>
      <c r="O34" s="35">
        <f t="shared" si="28"/>
        <v>0</v>
      </c>
      <c r="P34" s="35">
        <f t="shared" si="3"/>
        <v>0</v>
      </c>
      <c r="Q34" s="36">
        <f t="shared" si="4"/>
        <v>0</v>
      </c>
      <c r="R34" s="36">
        <f t="shared" si="5"/>
        <v>1</v>
      </c>
      <c r="S34" s="37"/>
      <c r="T34" s="5"/>
      <c r="U34" s="54"/>
      <c r="V34" s="55"/>
      <c r="W34" s="55"/>
      <c r="X34" s="56"/>
      <c r="Y34" s="55"/>
      <c r="Z34" s="55"/>
      <c r="AA34" s="57"/>
      <c r="AB34" s="5"/>
      <c r="AC34" s="42">
        <f t="shared" si="6"/>
        <v>0</v>
      </c>
      <c r="AD34" s="3">
        <f t="shared" si="7"/>
        <v>1</v>
      </c>
      <c r="AE34" s="3">
        <f t="shared" si="8"/>
        <v>0</v>
      </c>
      <c r="AF34" s="43">
        <f t="shared" si="9"/>
        <v>0</v>
      </c>
      <c r="AG34" s="44">
        <f t="shared" si="10"/>
        <v>0</v>
      </c>
      <c r="AH34" s="45">
        <f t="shared" si="11"/>
        <v>0</v>
      </c>
      <c r="AI34" s="46">
        <f t="shared" si="12"/>
        <v>0</v>
      </c>
      <c r="AJ34" s="47">
        <f t="shared" si="13"/>
        <v>0</v>
      </c>
      <c r="AK34" s="5"/>
      <c r="AL34" s="42">
        <f t="shared" si="14"/>
        <v>1</v>
      </c>
      <c r="AM34" s="3">
        <f t="shared" si="15"/>
        <v>1</v>
      </c>
      <c r="AN34" s="3">
        <f t="shared" si="16"/>
        <v>1</v>
      </c>
      <c r="AO34" s="3">
        <f t="shared" si="17"/>
        <v>0</v>
      </c>
      <c r="AP34" s="44">
        <f t="shared" si="18"/>
        <v>19474.16</v>
      </c>
      <c r="AQ34" s="48">
        <f t="shared" si="19"/>
        <v>2.033333333</v>
      </c>
      <c r="AR34" s="46">
        <f t="shared" si="20"/>
        <v>0.003416190002</v>
      </c>
      <c r="AS34" s="47">
        <f t="shared" si="21"/>
        <v>0</v>
      </c>
      <c r="AT34" s="5"/>
      <c r="AU34" s="49">
        <f t="shared" si="27"/>
        <v>19474.16</v>
      </c>
      <c r="AV34" s="50">
        <f t="shared" si="23"/>
        <v>1</v>
      </c>
      <c r="AW34" s="51">
        <f t="shared" si="24"/>
        <v>0.001889445052</v>
      </c>
      <c r="AX34" s="52">
        <f t="shared" si="25"/>
        <v>0</v>
      </c>
      <c r="AY34" s="5"/>
      <c r="AZ34" s="53">
        <f t="shared" si="26"/>
        <v>1</v>
      </c>
      <c r="BA34" s="5"/>
      <c r="BB34" s="5"/>
      <c r="BC34" s="5"/>
    </row>
    <row r="35" ht="12.75" customHeight="1">
      <c r="A35" s="25"/>
      <c r="B35" s="62" t="s">
        <v>94</v>
      </c>
      <c r="C35" s="62"/>
      <c r="D35" s="63">
        <v>15658.35</v>
      </c>
      <c r="E35" s="29" t="s">
        <v>49</v>
      </c>
      <c r="F35" s="30">
        <v>39691.0</v>
      </c>
      <c r="G35" s="31" t="s">
        <v>40</v>
      </c>
      <c r="H35" s="30">
        <v>40057.0</v>
      </c>
      <c r="I35" s="32">
        <f t="shared" si="1"/>
        <v>12.2</v>
      </c>
      <c r="J35" s="33" t="s">
        <v>95</v>
      </c>
      <c r="K35" s="34">
        <v>19000.0</v>
      </c>
      <c r="L35" s="65">
        <f>2531.91</f>
        <v>2531.91</v>
      </c>
      <c r="M35" s="65">
        <f>2369.21+54.6+33.35+899.34</f>
        <v>3356.5</v>
      </c>
      <c r="N35" s="65">
        <v>532.13</v>
      </c>
      <c r="O35" s="35">
        <f t="shared" si="28"/>
        <v>0</v>
      </c>
      <c r="P35" s="35">
        <f t="shared" si="3"/>
        <v>3078.89</v>
      </c>
      <c r="Q35" s="36">
        <f t="shared" si="4"/>
        <v>0.1966292745</v>
      </c>
      <c r="R35" s="36">
        <f t="shared" si="5"/>
        <v>0.8033707255</v>
      </c>
      <c r="S35" s="37"/>
      <c r="T35" s="5"/>
      <c r="U35" s="54"/>
      <c r="V35" s="55"/>
      <c r="W35" s="55"/>
      <c r="X35" s="56"/>
      <c r="Y35" s="55"/>
      <c r="Z35" s="55"/>
      <c r="AA35" s="57"/>
      <c r="AB35" s="5"/>
      <c r="AC35" s="42">
        <f t="shared" si="6"/>
        <v>1</v>
      </c>
      <c r="AD35" s="3">
        <f t="shared" si="7"/>
        <v>1</v>
      </c>
      <c r="AE35" s="3">
        <f t="shared" si="8"/>
        <v>1</v>
      </c>
      <c r="AF35" s="43">
        <f t="shared" si="9"/>
        <v>3888.63</v>
      </c>
      <c r="AG35" s="44">
        <f t="shared" si="10"/>
        <v>15658.35</v>
      </c>
      <c r="AH35" s="45">
        <f t="shared" si="11"/>
        <v>12.2</v>
      </c>
      <c r="AI35" s="46">
        <f t="shared" si="12"/>
        <v>0.003388514756</v>
      </c>
      <c r="AJ35" s="47">
        <f t="shared" si="13"/>
        <v>0.000666281198</v>
      </c>
      <c r="AK35" s="5"/>
      <c r="AL35" s="42">
        <f t="shared" si="14"/>
        <v>0</v>
      </c>
      <c r="AM35" s="3">
        <f t="shared" si="15"/>
        <v>1</v>
      </c>
      <c r="AN35" s="3">
        <f t="shared" si="16"/>
        <v>0</v>
      </c>
      <c r="AO35" s="3">
        <f t="shared" si="17"/>
        <v>0</v>
      </c>
      <c r="AP35" s="44">
        <f t="shared" si="18"/>
        <v>0</v>
      </c>
      <c r="AQ35" s="48">
        <f t="shared" si="19"/>
        <v>0</v>
      </c>
      <c r="AR35" s="46">
        <f t="shared" si="20"/>
        <v>0</v>
      </c>
      <c r="AS35" s="47">
        <f t="shared" si="21"/>
        <v>0</v>
      </c>
      <c r="AT35" s="5"/>
      <c r="AU35" s="49">
        <f t="shared" si="27"/>
        <v>15658.35</v>
      </c>
      <c r="AV35" s="50">
        <f t="shared" si="23"/>
        <v>1</v>
      </c>
      <c r="AW35" s="51">
        <f t="shared" si="24"/>
        <v>0.001519223008</v>
      </c>
      <c r="AX35" s="52">
        <f t="shared" si="25"/>
        <v>0.0002987237178</v>
      </c>
      <c r="AY35" s="5"/>
      <c r="AZ35" s="53">
        <f t="shared" si="26"/>
        <v>1</v>
      </c>
      <c r="BA35" s="5"/>
      <c r="BB35" s="5"/>
      <c r="BC35" s="5"/>
    </row>
    <row r="36" ht="12.75" customHeight="1">
      <c r="A36" s="25"/>
      <c r="B36" s="62" t="s">
        <v>96</v>
      </c>
      <c r="C36" s="62"/>
      <c r="D36" s="63">
        <v>52865.39</v>
      </c>
      <c r="E36" s="29" t="s">
        <v>49</v>
      </c>
      <c r="F36" s="30">
        <v>39692.0</v>
      </c>
      <c r="G36" s="31" t="s">
        <v>40</v>
      </c>
      <c r="H36" s="30">
        <v>39721.0</v>
      </c>
      <c r="I36" s="32">
        <f t="shared" si="1"/>
        <v>0.9666666667</v>
      </c>
      <c r="J36" s="64" t="s">
        <v>66</v>
      </c>
      <c r="K36" s="34">
        <v>46712.01</v>
      </c>
      <c r="L36" s="65">
        <v>8968.45</v>
      </c>
      <c r="M36" s="65">
        <v>0.0</v>
      </c>
      <c r="N36" s="65">
        <v>0.0</v>
      </c>
      <c r="O36" s="35">
        <v>15122.0</v>
      </c>
      <c r="P36" s="35">
        <f t="shared" si="3"/>
        <v>15121.83</v>
      </c>
      <c r="Q36" s="36">
        <f t="shared" si="4"/>
        <v>0.2860440451</v>
      </c>
      <c r="R36" s="36">
        <f t="shared" si="5"/>
        <v>0.7139559549</v>
      </c>
      <c r="S36" s="37"/>
      <c r="T36" s="5"/>
      <c r="U36" s="54"/>
      <c r="V36" s="55"/>
      <c r="W36" s="55"/>
      <c r="X36" s="56"/>
      <c r="Y36" s="55"/>
      <c r="Z36" s="55"/>
      <c r="AA36" s="57"/>
      <c r="AB36" s="5"/>
      <c r="AC36" s="42">
        <f t="shared" si="6"/>
        <v>1</v>
      </c>
      <c r="AD36" s="3">
        <f t="shared" si="7"/>
        <v>1</v>
      </c>
      <c r="AE36" s="3">
        <f t="shared" si="8"/>
        <v>1</v>
      </c>
      <c r="AF36" s="43">
        <f t="shared" si="9"/>
        <v>0</v>
      </c>
      <c r="AG36" s="44">
        <f t="shared" si="10"/>
        <v>52865.39</v>
      </c>
      <c r="AH36" s="45">
        <f t="shared" si="11"/>
        <v>0.9666666667</v>
      </c>
      <c r="AI36" s="46">
        <f t="shared" si="12"/>
        <v>0.01144023183</v>
      </c>
      <c r="AJ36" s="47">
        <f t="shared" si="13"/>
        <v>0.00327241019</v>
      </c>
      <c r="AK36" s="5"/>
      <c r="AL36" s="42">
        <f t="shared" si="14"/>
        <v>0</v>
      </c>
      <c r="AM36" s="3">
        <f t="shared" si="15"/>
        <v>1</v>
      </c>
      <c r="AN36" s="3">
        <f t="shared" si="16"/>
        <v>0</v>
      </c>
      <c r="AO36" s="3">
        <f t="shared" si="17"/>
        <v>0</v>
      </c>
      <c r="AP36" s="44">
        <f t="shared" si="18"/>
        <v>0</v>
      </c>
      <c r="AQ36" s="48">
        <f t="shared" si="19"/>
        <v>0</v>
      </c>
      <c r="AR36" s="46">
        <f t="shared" si="20"/>
        <v>0</v>
      </c>
      <c r="AS36" s="47">
        <f t="shared" si="21"/>
        <v>0</v>
      </c>
      <c r="AT36" s="5"/>
      <c r="AU36" s="49">
        <f t="shared" si="27"/>
        <v>52865.39</v>
      </c>
      <c r="AV36" s="50">
        <f t="shared" si="23"/>
        <v>1</v>
      </c>
      <c r="AW36" s="51">
        <f t="shared" si="24"/>
        <v>0.005129168578</v>
      </c>
      <c r="AX36" s="52">
        <f t="shared" si="25"/>
        <v>0.001467168128</v>
      </c>
      <c r="AY36" s="5"/>
      <c r="AZ36" s="53">
        <f t="shared" si="26"/>
        <v>1</v>
      </c>
      <c r="BA36" s="5"/>
      <c r="BB36" s="5"/>
      <c r="BC36" s="5"/>
    </row>
    <row r="37" ht="12.75" customHeight="1">
      <c r="A37" s="25"/>
      <c r="B37" s="62" t="s">
        <v>97</v>
      </c>
      <c r="C37" s="62"/>
      <c r="D37" s="63">
        <v>13887.0</v>
      </c>
      <c r="E37" s="61" t="s">
        <v>39</v>
      </c>
      <c r="F37" s="30">
        <v>39721.0</v>
      </c>
      <c r="G37" s="72" t="s">
        <v>40</v>
      </c>
      <c r="H37" s="30">
        <v>39743.0</v>
      </c>
      <c r="I37" s="32">
        <f t="shared" si="1"/>
        <v>0.7333333333</v>
      </c>
      <c r="J37" s="33" t="s">
        <v>98</v>
      </c>
      <c r="K37" s="34">
        <v>14500.0</v>
      </c>
      <c r="L37" s="65">
        <v>785.72</v>
      </c>
      <c r="M37" s="65">
        <v>0.0</v>
      </c>
      <c r="N37" s="65">
        <v>0.0</v>
      </c>
      <c r="O37" s="35">
        <f t="shared" ref="O37:O38" si="29">IF(K37="N/A",0,IF(K37-D37&gt;0,0,D37-K37))</f>
        <v>0</v>
      </c>
      <c r="P37" s="35">
        <f t="shared" si="3"/>
        <v>172.72</v>
      </c>
      <c r="Q37" s="36">
        <f t="shared" si="4"/>
        <v>0.0124375315</v>
      </c>
      <c r="R37" s="36">
        <f t="shared" si="5"/>
        <v>0.9875624685</v>
      </c>
      <c r="S37" s="37"/>
      <c r="T37" s="5"/>
      <c r="U37" s="54"/>
      <c r="V37" s="55"/>
      <c r="W37" s="55"/>
      <c r="X37" s="56"/>
      <c r="Y37" s="55"/>
      <c r="Z37" s="55"/>
      <c r="AA37" s="57"/>
      <c r="AB37" s="5"/>
      <c r="AC37" s="42">
        <f t="shared" si="6"/>
        <v>0</v>
      </c>
      <c r="AD37" s="3">
        <f t="shared" si="7"/>
        <v>1</v>
      </c>
      <c r="AE37" s="3">
        <f t="shared" si="8"/>
        <v>0</v>
      </c>
      <c r="AF37" s="43">
        <f t="shared" si="9"/>
        <v>0</v>
      </c>
      <c r="AG37" s="44">
        <f t="shared" si="10"/>
        <v>0</v>
      </c>
      <c r="AH37" s="45">
        <f t="shared" si="11"/>
        <v>0</v>
      </c>
      <c r="AI37" s="46">
        <f t="shared" si="12"/>
        <v>0</v>
      </c>
      <c r="AJ37" s="47">
        <f t="shared" si="13"/>
        <v>0</v>
      </c>
      <c r="AK37" s="5"/>
      <c r="AL37" s="42">
        <f t="shared" si="14"/>
        <v>1</v>
      </c>
      <c r="AM37" s="3">
        <f t="shared" si="15"/>
        <v>1</v>
      </c>
      <c r="AN37" s="3">
        <f t="shared" si="16"/>
        <v>1</v>
      </c>
      <c r="AO37" s="3">
        <f t="shared" si="17"/>
        <v>0</v>
      </c>
      <c r="AP37" s="44">
        <f t="shared" si="18"/>
        <v>13887</v>
      </c>
      <c r="AQ37" s="48">
        <f t="shared" si="19"/>
        <v>0.7333333333</v>
      </c>
      <c r="AR37" s="46">
        <f t="shared" si="20"/>
        <v>0.002436080968</v>
      </c>
      <c r="AS37" s="47">
        <f t="shared" si="21"/>
        <v>0.00003029883379</v>
      </c>
      <c r="AT37" s="5"/>
      <c r="AU37" s="49">
        <f t="shared" si="27"/>
        <v>13887</v>
      </c>
      <c r="AV37" s="50">
        <f t="shared" si="23"/>
        <v>1</v>
      </c>
      <c r="AW37" s="51">
        <f t="shared" si="24"/>
        <v>0.001347360987</v>
      </c>
      <c r="AX37" s="52">
        <f t="shared" si="25"/>
        <v>0.00001675784472</v>
      </c>
      <c r="AY37" s="5"/>
      <c r="AZ37" s="53">
        <f t="shared" si="26"/>
        <v>1</v>
      </c>
      <c r="BA37" s="5"/>
      <c r="BB37" s="5"/>
      <c r="BC37" s="5"/>
    </row>
    <row r="38" ht="12.75" customHeight="1">
      <c r="A38" s="25"/>
      <c r="B38" s="79" t="s">
        <v>99</v>
      </c>
      <c r="C38" s="79"/>
      <c r="D38" s="63">
        <v>54000.0</v>
      </c>
      <c r="E38" s="29" t="s">
        <v>39</v>
      </c>
      <c r="F38" s="30">
        <v>39721.0</v>
      </c>
      <c r="G38" s="31" t="s">
        <v>40</v>
      </c>
      <c r="H38" s="30">
        <v>39748.0</v>
      </c>
      <c r="I38" s="32">
        <f t="shared" si="1"/>
        <v>0.9</v>
      </c>
      <c r="J38" s="64" t="s">
        <v>66</v>
      </c>
      <c r="K38" s="70">
        <v>62000.0</v>
      </c>
      <c r="L38" s="65">
        <f>49.72+11+43.42+25.62+26+4.82+2615.95</f>
        <v>2776.53</v>
      </c>
      <c r="M38" s="65">
        <v>1092.53</v>
      </c>
      <c r="N38" s="65">
        <v>600.0</v>
      </c>
      <c r="O38" s="35">
        <f t="shared" si="29"/>
        <v>0</v>
      </c>
      <c r="P38" s="35">
        <f t="shared" si="3"/>
        <v>0</v>
      </c>
      <c r="Q38" s="36">
        <f t="shared" si="4"/>
        <v>0</v>
      </c>
      <c r="R38" s="36">
        <f t="shared" si="5"/>
        <v>1</v>
      </c>
      <c r="S38" s="37"/>
      <c r="T38" s="5"/>
      <c r="U38" s="54"/>
      <c r="V38" s="55"/>
      <c r="W38" s="55"/>
      <c r="X38" s="56"/>
      <c r="Y38" s="55"/>
      <c r="Z38" s="55"/>
      <c r="AA38" s="57"/>
      <c r="AB38" s="5"/>
      <c r="AC38" s="42">
        <f t="shared" si="6"/>
        <v>0</v>
      </c>
      <c r="AD38" s="3">
        <f t="shared" si="7"/>
        <v>1</v>
      </c>
      <c r="AE38" s="3">
        <f t="shared" si="8"/>
        <v>0</v>
      </c>
      <c r="AF38" s="43">
        <f t="shared" si="9"/>
        <v>0</v>
      </c>
      <c r="AG38" s="44">
        <f t="shared" si="10"/>
        <v>0</v>
      </c>
      <c r="AH38" s="45">
        <f t="shared" si="11"/>
        <v>0</v>
      </c>
      <c r="AI38" s="46">
        <f t="shared" si="12"/>
        <v>0</v>
      </c>
      <c r="AJ38" s="47">
        <f t="shared" si="13"/>
        <v>0</v>
      </c>
      <c r="AK38" s="5"/>
      <c r="AL38" s="42">
        <f t="shared" si="14"/>
        <v>1</v>
      </c>
      <c r="AM38" s="3">
        <f t="shared" si="15"/>
        <v>1</v>
      </c>
      <c r="AN38" s="3">
        <f t="shared" si="16"/>
        <v>1</v>
      </c>
      <c r="AO38" s="3">
        <f t="shared" si="17"/>
        <v>1692.53</v>
      </c>
      <c r="AP38" s="44">
        <f t="shared" si="18"/>
        <v>54000</v>
      </c>
      <c r="AQ38" s="48">
        <f t="shared" si="19"/>
        <v>0.9</v>
      </c>
      <c r="AR38" s="46">
        <f t="shared" si="20"/>
        <v>0.009472771102</v>
      </c>
      <c r="AS38" s="47">
        <f t="shared" si="21"/>
        <v>0</v>
      </c>
      <c r="AT38" s="5"/>
      <c r="AU38" s="49">
        <f t="shared" si="27"/>
        <v>54000</v>
      </c>
      <c r="AV38" s="50">
        <f t="shared" si="23"/>
        <v>1</v>
      </c>
      <c r="AW38" s="51">
        <f t="shared" si="24"/>
        <v>0.005239252056</v>
      </c>
      <c r="AX38" s="52">
        <f t="shared" si="25"/>
        <v>0</v>
      </c>
      <c r="AY38" s="5"/>
      <c r="AZ38" s="53">
        <f t="shared" si="26"/>
        <v>1</v>
      </c>
      <c r="BA38" s="5"/>
      <c r="BB38" s="5"/>
      <c r="BC38" s="5"/>
    </row>
    <row r="39" ht="12.75" customHeight="1">
      <c r="A39" s="25"/>
      <c r="B39" s="62" t="s">
        <v>100</v>
      </c>
      <c r="C39" s="62"/>
      <c r="D39" s="63">
        <v>46800.0</v>
      </c>
      <c r="E39" s="29" t="s">
        <v>39</v>
      </c>
      <c r="F39" s="30">
        <v>39721.0</v>
      </c>
      <c r="G39" s="31" t="s">
        <v>40</v>
      </c>
      <c r="H39" s="30">
        <v>39863.0</v>
      </c>
      <c r="I39" s="32">
        <f t="shared" si="1"/>
        <v>4.733333333</v>
      </c>
      <c r="J39" s="64" t="s">
        <v>101</v>
      </c>
      <c r="K39" s="34">
        <v>41200.0</v>
      </c>
      <c r="L39" s="65">
        <f>21.55+4.77+37.62+11.53+13+2.31+2276.11</f>
        <v>2366.89</v>
      </c>
      <c r="M39" s="65">
        <f>181.91</f>
        <v>181.91</v>
      </c>
      <c r="N39" s="65">
        <v>178.73</v>
      </c>
      <c r="O39" s="35">
        <v>0.0</v>
      </c>
      <c r="P39" s="35">
        <f t="shared" si="3"/>
        <v>8327.53</v>
      </c>
      <c r="Q39" s="36">
        <f t="shared" si="4"/>
        <v>0.1779386752</v>
      </c>
      <c r="R39" s="36">
        <f t="shared" si="5"/>
        <v>0.8220613248</v>
      </c>
      <c r="S39" s="37"/>
      <c r="T39" s="5"/>
      <c r="U39" s="54"/>
      <c r="V39" s="55"/>
      <c r="W39" s="55"/>
      <c r="X39" s="56"/>
      <c r="Y39" s="55"/>
      <c r="Z39" s="55"/>
      <c r="AA39" s="57"/>
      <c r="AB39" s="5"/>
      <c r="AC39" s="42">
        <f t="shared" si="6"/>
        <v>0</v>
      </c>
      <c r="AD39" s="3">
        <f t="shared" si="7"/>
        <v>1</v>
      </c>
      <c r="AE39" s="3">
        <f t="shared" si="8"/>
        <v>0</v>
      </c>
      <c r="AF39" s="43">
        <f t="shared" si="9"/>
        <v>0</v>
      </c>
      <c r="AG39" s="44">
        <f t="shared" si="10"/>
        <v>0</v>
      </c>
      <c r="AH39" s="45">
        <f t="shared" si="11"/>
        <v>0</v>
      </c>
      <c r="AI39" s="46">
        <f t="shared" si="12"/>
        <v>0</v>
      </c>
      <c r="AJ39" s="47">
        <f t="shared" si="13"/>
        <v>0</v>
      </c>
      <c r="AK39" s="5"/>
      <c r="AL39" s="42">
        <f t="shared" si="14"/>
        <v>1</v>
      </c>
      <c r="AM39" s="3">
        <f t="shared" si="15"/>
        <v>1</v>
      </c>
      <c r="AN39" s="3">
        <f t="shared" si="16"/>
        <v>1</v>
      </c>
      <c r="AO39" s="3">
        <f t="shared" si="17"/>
        <v>360.64</v>
      </c>
      <c r="AP39" s="44">
        <f t="shared" si="18"/>
        <v>46800</v>
      </c>
      <c r="AQ39" s="48">
        <f t="shared" si="19"/>
        <v>4.733333333</v>
      </c>
      <c r="AR39" s="46">
        <f t="shared" si="20"/>
        <v>0.008209734955</v>
      </c>
      <c r="AS39" s="47">
        <f t="shared" si="21"/>
        <v>0.001460829362</v>
      </c>
      <c r="AT39" s="5"/>
      <c r="AU39" s="49">
        <f t="shared" si="27"/>
        <v>46800</v>
      </c>
      <c r="AV39" s="50">
        <f t="shared" si="23"/>
        <v>1</v>
      </c>
      <c r="AW39" s="51">
        <f t="shared" si="24"/>
        <v>0.004540685115</v>
      </c>
      <c r="AX39" s="52">
        <f t="shared" si="25"/>
        <v>0.0008079634939</v>
      </c>
      <c r="AY39" s="5"/>
      <c r="AZ39" s="53">
        <f t="shared" si="26"/>
        <v>1</v>
      </c>
      <c r="BA39" s="5"/>
      <c r="BB39" s="5"/>
      <c r="BC39" s="5"/>
    </row>
    <row r="40" ht="12.75" customHeight="1">
      <c r="A40" s="25"/>
      <c r="B40" s="62" t="s">
        <v>102</v>
      </c>
      <c r="C40" s="62"/>
      <c r="D40" s="63">
        <v>24520.0</v>
      </c>
      <c r="E40" s="29" t="s">
        <v>39</v>
      </c>
      <c r="F40" s="30">
        <v>39752.0</v>
      </c>
      <c r="G40" s="31" t="s">
        <v>40</v>
      </c>
      <c r="H40" s="30">
        <v>39752.0</v>
      </c>
      <c r="I40" s="32">
        <f t="shared" si="1"/>
        <v>0</v>
      </c>
      <c r="J40" s="64" t="s">
        <v>103</v>
      </c>
      <c r="K40" s="70">
        <v>19504.0</v>
      </c>
      <c r="L40" s="65">
        <f>1194.85+349.61</f>
        <v>1544.46</v>
      </c>
      <c r="M40" s="65">
        <f>8.86+42.34</f>
        <v>51.2</v>
      </c>
      <c r="N40" s="65">
        <f>5.83+900</f>
        <v>905.83</v>
      </c>
      <c r="O40" s="35">
        <f t="shared" ref="O40:O49" si="30">IF(K40="N/A",0,IF(K40-D40&gt;0,0,D40-K40))</f>
        <v>5016</v>
      </c>
      <c r="P40" s="35">
        <f t="shared" si="3"/>
        <v>7517.49</v>
      </c>
      <c r="Q40" s="36">
        <f t="shared" si="4"/>
        <v>0.3065860522</v>
      </c>
      <c r="R40" s="36">
        <f t="shared" si="5"/>
        <v>0.6934139478</v>
      </c>
      <c r="S40" s="37"/>
      <c r="T40" s="5"/>
      <c r="U40" s="54"/>
      <c r="V40" s="55"/>
      <c r="W40" s="55"/>
      <c r="X40" s="56"/>
      <c r="Y40" s="55"/>
      <c r="Z40" s="55"/>
      <c r="AA40" s="57"/>
      <c r="AB40" s="5"/>
      <c r="AC40" s="42">
        <f t="shared" si="6"/>
        <v>0</v>
      </c>
      <c r="AD40" s="3">
        <f t="shared" si="7"/>
        <v>1</v>
      </c>
      <c r="AE40" s="3">
        <f t="shared" si="8"/>
        <v>0</v>
      </c>
      <c r="AF40" s="43">
        <f t="shared" si="9"/>
        <v>0</v>
      </c>
      <c r="AG40" s="44">
        <f t="shared" si="10"/>
        <v>0</v>
      </c>
      <c r="AH40" s="45">
        <f t="shared" si="11"/>
        <v>0</v>
      </c>
      <c r="AI40" s="46">
        <f t="shared" si="12"/>
        <v>0</v>
      </c>
      <c r="AJ40" s="47">
        <f t="shared" si="13"/>
        <v>0</v>
      </c>
      <c r="AK40" s="5"/>
      <c r="AL40" s="42">
        <f t="shared" si="14"/>
        <v>1</v>
      </c>
      <c r="AM40" s="3">
        <f t="shared" si="15"/>
        <v>1</v>
      </c>
      <c r="AN40" s="3">
        <f t="shared" si="16"/>
        <v>1</v>
      </c>
      <c r="AO40" s="3">
        <f t="shared" si="17"/>
        <v>957.03</v>
      </c>
      <c r="AP40" s="44">
        <f t="shared" si="18"/>
        <v>24520</v>
      </c>
      <c r="AQ40" s="48">
        <f t="shared" si="19"/>
        <v>0</v>
      </c>
      <c r="AR40" s="46">
        <f t="shared" si="20"/>
        <v>0.004301339767</v>
      </c>
      <c r="AS40" s="47">
        <f t="shared" si="21"/>
        <v>0.001318730778</v>
      </c>
      <c r="AT40" s="5"/>
      <c r="AU40" s="49">
        <f t="shared" si="27"/>
        <v>24520</v>
      </c>
      <c r="AV40" s="50">
        <f t="shared" si="23"/>
        <v>1</v>
      </c>
      <c r="AW40" s="51">
        <f t="shared" si="24"/>
        <v>0.002379008526</v>
      </c>
      <c r="AX40" s="52">
        <f t="shared" si="25"/>
        <v>0.0007293708322</v>
      </c>
      <c r="AY40" s="5"/>
      <c r="AZ40" s="53">
        <f t="shared" si="26"/>
        <v>1</v>
      </c>
      <c r="BA40" s="5"/>
      <c r="BB40" s="5"/>
      <c r="BC40" s="5"/>
    </row>
    <row r="41" ht="12.75" customHeight="1">
      <c r="A41" s="25"/>
      <c r="B41" s="62" t="s">
        <v>104</v>
      </c>
      <c r="C41" s="62"/>
      <c r="D41" s="63">
        <v>18224.28</v>
      </c>
      <c r="E41" s="29" t="s">
        <v>39</v>
      </c>
      <c r="F41" s="30">
        <v>39752.0</v>
      </c>
      <c r="G41" s="72" t="s">
        <v>40</v>
      </c>
      <c r="H41" s="30">
        <v>39851.0</v>
      </c>
      <c r="I41" s="32">
        <f t="shared" si="1"/>
        <v>3.3</v>
      </c>
      <c r="J41" s="64" t="s">
        <v>105</v>
      </c>
      <c r="K41" s="70">
        <v>18000.0</v>
      </c>
      <c r="L41" s="65">
        <v>1095.74</v>
      </c>
      <c r="M41" s="65">
        <v>3530.85</v>
      </c>
      <c r="N41" s="65">
        <f>44.44+900</f>
        <v>944.44</v>
      </c>
      <c r="O41" s="35">
        <f t="shared" si="30"/>
        <v>224.28</v>
      </c>
      <c r="P41" s="35">
        <f t="shared" si="3"/>
        <v>5795.31</v>
      </c>
      <c r="Q41" s="36">
        <f t="shared" si="4"/>
        <v>0.3179993942</v>
      </c>
      <c r="R41" s="36">
        <f t="shared" si="5"/>
        <v>0.6820006058</v>
      </c>
      <c r="S41" s="37"/>
      <c r="T41" s="5"/>
      <c r="U41" s="54"/>
      <c r="V41" s="55"/>
      <c r="W41" s="55"/>
      <c r="X41" s="56"/>
      <c r="Y41" s="55"/>
      <c r="Z41" s="55"/>
      <c r="AA41" s="57"/>
      <c r="AB41" s="5"/>
      <c r="AC41" s="42">
        <f t="shared" si="6"/>
        <v>0</v>
      </c>
      <c r="AD41" s="3">
        <f t="shared" si="7"/>
        <v>1</v>
      </c>
      <c r="AE41" s="3">
        <f t="shared" si="8"/>
        <v>0</v>
      </c>
      <c r="AF41" s="43">
        <f t="shared" si="9"/>
        <v>0</v>
      </c>
      <c r="AG41" s="44">
        <f t="shared" si="10"/>
        <v>0</v>
      </c>
      <c r="AH41" s="45">
        <f t="shared" si="11"/>
        <v>0</v>
      </c>
      <c r="AI41" s="46">
        <f t="shared" si="12"/>
        <v>0</v>
      </c>
      <c r="AJ41" s="47">
        <f t="shared" si="13"/>
        <v>0</v>
      </c>
      <c r="AK41" s="5"/>
      <c r="AL41" s="42">
        <f t="shared" si="14"/>
        <v>1</v>
      </c>
      <c r="AM41" s="3">
        <f t="shared" si="15"/>
        <v>1</v>
      </c>
      <c r="AN41" s="3">
        <f t="shared" si="16"/>
        <v>1</v>
      </c>
      <c r="AO41" s="3">
        <f t="shared" si="17"/>
        <v>4475.29</v>
      </c>
      <c r="AP41" s="44">
        <f t="shared" si="18"/>
        <v>18224.28</v>
      </c>
      <c r="AQ41" s="48">
        <f t="shared" si="19"/>
        <v>3.3</v>
      </c>
      <c r="AR41" s="46">
        <f t="shared" si="20"/>
        <v>0.003196933943</v>
      </c>
      <c r="AS41" s="47">
        <f t="shared" si="21"/>
        <v>0.001016623057</v>
      </c>
      <c r="AT41" s="5"/>
      <c r="AU41" s="49">
        <f t="shared" si="27"/>
        <v>18224.28</v>
      </c>
      <c r="AV41" s="50">
        <f t="shared" si="23"/>
        <v>1</v>
      </c>
      <c r="AW41" s="51">
        <f t="shared" si="24"/>
        <v>0.001768177712</v>
      </c>
      <c r="AX41" s="52">
        <f t="shared" si="25"/>
        <v>0.0005622794413</v>
      </c>
      <c r="AY41" s="5"/>
      <c r="AZ41" s="53">
        <f t="shared" si="26"/>
        <v>1</v>
      </c>
      <c r="BA41" s="5"/>
      <c r="BB41" s="5"/>
      <c r="BC41" s="5"/>
    </row>
    <row r="42" ht="12.75" customHeight="1">
      <c r="A42" s="25"/>
      <c r="B42" s="62" t="s">
        <v>106</v>
      </c>
      <c r="C42" s="62"/>
      <c r="D42" s="63">
        <v>20622.95</v>
      </c>
      <c r="E42" s="29" t="s">
        <v>39</v>
      </c>
      <c r="F42" s="30">
        <v>39752.0</v>
      </c>
      <c r="G42" s="31" t="s">
        <v>40</v>
      </c>
      <c r="H42" s="30">
        <v>39961.0</v>
      </c>
      <c r="I42" s="32">
        <f t="shared" si="1"/>
        <v>6.966666667</v>
      </c>
      <c r="J42" s="33" t="s">
        <v>107</v>
      </c>
      <c r="K42" s="70">
        <v>11000.0</v>
      </c>
      <c r="L42" s="65">
        <f>8.25+1.82+10.23+4.5+13+1.93+150.45</f>
        <v>190.18</v>
      </c>
      <c r="M42" s="65">
        <f>302.27+8.86</f>
        <v>311.13</v>
      </c>
      <c r="N42" s="65">
        <f>109.5+450</f>
        <v>559.5</v>
      </c>
      <c r="O42" s="35">
        <f t="shared" si="30"/>
        <v>9622.95</v>
      </c>
      <c r="P42" s="35">
        <f t="shared" si="3"/>
        <v>10683.76</v>
      </c>
      <c r="Q42" s="36">
        <f t="shared" si="4"/>
        <v>0.5180519761</v>
      </c>
      <c r="R42" s="36">
        <f t="shared" si="5"/>
        <v>0.4819480239</v>
      </c>
      <c r="S42" s="37"/>
      <c r="T42" s="5"/>
      <c r="U42" s="54"/>
      <c r="V42" s="55"/>
      <c r="W42" s="55"/>
      <c r="X42" s="56"/>
      <c r="Y42" s="55"/>
      <c r="Z42" s="55"/>
      <c r="AA42" s="57"/>
      <c r="AB42" s="5"/>
      <c r="AC42" s="42">
        <f t="shared" si="6"/>
        <v>0</v>
      </c>
      <c r="AD42" s="3">
        <f t="shared" si="7"/>
        <v>1</v>
      </c>
      <c r="AE42" s="3">
        <f t="shared" si="8"/>
        <v>0</v>
      </c>
      <c r="AF42" s="43">
        <f t="shared" si="9"/>
        <v>0</v>
      </c>
      <c r="AG42" s="44">
        <f t="shared" si="10"/>
        <v>0</v>
      </c>
      <c r="AH42" s="45">
        <f t="shared" si="11"/>
        <v>0</v>
      </c>
      <c r="AI42" s="46">
        <f t="shared" si="12"/>
        <v>0</v>
      </c>
      <c r="AJ42" s="47">
        <f t="shared" si="13"/>
        <v>0</v>
      </c>
      <c r="AK42" s="5"/>
      <c r="AL42" s="42">
        <f t="shared" si="14"/>
        <v>1</v>
      </c>
      <c r="AM42" s="3">
        <f t="shared" si="15"/>
        <v>1</v>
      </c>
      <c r="AN42" s="3">
        <f t="shared" si="16"/>
        <v>1</v>
      </c>
      <c r="AO42" s="3">
        <f t="shared" si="17"/>
        <v>870.63</v>
      </c>
      <c r="AP42" s="44">
        <f t="shared" si="18"/>
        <v>20622.95</v>
      </c>
      <c r="AQ42" s="48">
        <f t="shared" si="19"/>
        <v>6.966666667</v>
      </c>
      <c r="AR42" s="46">
        <f t="shared" si="20"/>
        <v>0.003617712681</v>
      </c>
      <c r="AS42" s="47">
        <f t="shared" si="21"/>
        <v>0.001874163203</v>
      </c>
      <c r="AT42" s="5"/>
      <c r="AU42" s="49">
        <f t="shared" si="27"/>
        <v>20622.95</v>
      </c>
      <c r="AV42" s="50">
        <f t="shared" si="23"/>
        <v>1</v>
      </c>
      <c r="AW42" s="51">
        <f t="shared" si="24"/>
        <v>0.002000904318</v>
      </c>
      <c r="AX42" s="52">
        <f t="shared" si="25"/>
        <v>0.001036572436</v>
      </c>
      <c r="AY42" s="5"/>
      <c r="AZ42" s="53">
        <f t="shared" si="26"/>
        <v>1</v>
      </c>
      <c r="BA42" s="5"/>
      <c r="BB42" s="5"/>
      <c r="BC42" s="5"/>
    </row>
    <row r="43" ht="12.75" customHeight="1">
      <c r="A43" s="25"/>
      <c r="B43" s="62" t="s">
        <v>108</v>
      </c>
      <c r="C43" s="62"/>
      <c r="D43" s="63">
        <v>15500.0</v>
      </c>
      <c r="E43" s="29" t="s">
        <v>39</v>
      </c>
      <c r="F43" s="30">
        <v>39752.0</v>
      </c>
      <c r="G43" s="32" t="s">
        <v>40</v>
      </c>
      <c r="H43" s="30">
        <v>39995.0</v>
      </c>
      <c r="I43" s="32">
        <f t="shared" si="1"/>
        <v>8.1</v>
      </c>
      <c r="J43" s="64" t="s">
        <v>109</v>
      </c>
      <c r="K43" s="34">
        <v>10000.0</v>
      </c>
      <c r="L43" s="65">
        <v>0.0</v>
      </c>
      <c r="M43" s="65">
        <f>22.35+9.06</f>
        <v>31.41</v>
      </c>
      <c r="N43" s="65">
        <f>148.21+20+22.35+450</f>
        <v>640.56</v>
      </c>
      <c r="O43" s="35">
        <f t="shared" si="30"/>
        <v>5500</v>
      </c>
      <c r="P43" s="35">
        <f t="shared" si="3"/>
        <v>6171.97</v>
      </c>
      <c r="Q43" s="36">
        <f t="shared" si="4"/>
        <v>0.3981916129</v>
      </c>
      <c r="R43" s="36">
        <f t="shared" si="5"/>
        <v>0.6018083871</v>
      </c>
      <c r="S43" s="37"/>
      <c r="T43" s="5"/>
      <c r="U43" s="54"/>
      <c r="V43" s="55"/>
      <c r="W43" s="55"/>
      <c r="X43" s="56"/>
      <c r="Y43" s="55"/>
      <c r="Z43" s="55"/>
      <c r="AA43" s="57"/>
      <c r="AB43" s="5"/>
      <c r="AC43" s="42">
        <f t="shared" si="6"/>
        <v>0</v>
      </c>
      <c r="AD43" s="3">
        <f t="shared" si="7"/>
        <v>1</v>
      </c>
      <c r="AE43" s="3">
        <f t="shared" si="8"/>
        <v>0</v>
      </c>
      <c r="AF43" s="43">
        <f t="shared" si="9"/>
        <v>0</v>
      </c>
      <c r="AG43" s="44">
        <f t="shared" si="10"/>
        <v>0</v>
      </c>
      <c r="AH43" s="45">
        <f t="shared" si="11"/>
        <v>0</v>
      </c>
      <c r="AI43" s="46">
        <f t="shared" si="12"/>
        <v>0</v>
      </c>
      <c r="AJ43" s="47">
        <f t="shared" si="13"/>
        <v>0</v>
      </c>
      <c r="AK43" s="5"/>
      <c r="AL43" s="42">
        <f t="shared" si="14"/>
        <v>1</v>
      </c>
      <c r="AM43" s="3">
        <f t="shared" si="15"/>
        <v>1</v>
      </c>
      <c r="AN43" s="3">
        <f t="shared" si="16"/>
        <v>1</v>
      </c>
      <c r="AO43" s="3">
        <f t="shared" si="17"/>
        <v>671.97</v>
      </c>
      <c r="AP43" s="44">
        <f t="shared" si="18"/>
        <v>15500</v>
      </c>
      <c r="AQ43" s="48">
        <f t="shared" si="19"/>
        <v>8.1</v>
      </c>
      <c r="AR43" s="46">
        <f t="shared" si="20"/>
        <v>0.00271903615</v>
      </c>
      <c r="AS43" s="47">
        <f t="shared" si="21"/>
        <v>0.00108269739</v>
      </c>
      <c r="AT43" s="5"/>
      <c r="AU43" s="49">
        <f t="shared" si="27"/>
        <v>15500</v>
      </c>
      <c r="AV43" s="50">
        <f t="shared" si="23"/>
        <v>1</v>
      </c>
      <c r="AW43" s="51">
        <f t="shared" si="24"/>
        <v>0.001503859386</v>
      </c>
      <c r="AX43" s="52">
        <f t="shared" si="25"/>
        <v>0.0005988241946</v>
      </c>
      <c r="AY43" s="5"/>
      <c r="AZ43" s="53">
        <f t="shared" si="26"/>
        <v>1</v>
      </c>
      <c r="BA43" s="5"/>
      <c r="BB43" s="5"/>
      <c r="BC43" s="5"/>
    </row>
    <row r="44" ht="12.75" customHeight="1">
      <c r="A44" s="69"/>
      <c r="B44" s="80" t="s">
        <v>110</v>
      </c>
      <c r="C44" s="80"/>
      <c r="D44" s="81">
        <v>12530.0</v>
      </c>
      <c r="E44" s="82" t="s">
        <v>39</v>
      </c>
      <c r="F44" s="83">
        <v>39752.0</v>
      </c>
      <c r="G44" s="84" t="s">
        <v>40</v>
      </c>
      <c r="H44" s="83">
        <v>40147.0</v>
      </c>
      <c r="I44" s="32">
        <f t="shared" si="1"/>
        <v>13.16666667</v>
      </c>
      <c r="J44" s="85" t="s">
        <v>111</v>
      </c>
      <c r="K44" s="86">
        <v>7000.0</v>
      </c>
      <c r="L44" s="87">
        <f>23.2+5.12+20.28+13.24+52+7.44+670.94</f>
        <v>792.22</v>
      </c>
      <c r="M44" s="87">
        <f>80.6+20+209.96+16.86</f>
        <v>327.42</v>
      </c>
      <c r="N44" s="87">
        <v>121.22</v>
      </c>
      <c r="O44" s="87">
        <f t="shared" si="30"/>
        <v>5530</v>
      </c>
      <c r="P44" s="35">
        <f t="shared" si="3"/>
        <v>6770.86</v>
      </c>
      <c r="Q44" s="36">
        <f t="shared" si="4"/>
        <v>0.5403719074</v>
      </c>
      <c r="R44" s="36">
        <f t="shared" si="5"/>
        <v>0.4596280926</v>
      </c>
      <c r="S44" s="37"/>
      <c r="T44" s="5"/>
      <c r="U44" s="54"/>
      <c r="V44" s="55"/>
      <c r="W44" s="55"/>
      <c r="X44" s="56"/>
      <c r="Y44" s="55"/>
      <c r="Z44" s="55"/>
      <c r="AA44" s="57"/>
      <c r="AB44" s="5"/>
      <c r="AC44" s="42">
        <f t="shared" si="6"/>
        <v>0</v>
      </c>
      <c r="AD44" s="3">
        <f t="shared" si="7"/>
        <v>1</v>
      </c>
      <c r="AE44" s="3">
        <f t="shared" si="8"/>
        <v>0</v>
      </c>
      <c r="AF44" s="43">
        <f t="shared" si="9"/>
        <v>0</v>
      </c>
      <c r="AG44" s="44">
        <f t="shared" si="10"/>
        <v>0</v>
      </c>
      <c r="AH44" s="45">
        <f t="shared" si="11"/>
        <v>0</v>
      </c>
      <c r="AI44" s="46">
        <f t="shared" si="12"/>
        <v>0</v>
      </c>
      <c r="AJ44" s="47">
        <f t="shared" si="13"/>
        <v>0</v>
      </c>
      <c r="AK44" s="5"/>
      <c r="AL44" s="42">
        <f t="shared" si="14"/>
        <v>1</v>
      </c>
      <c r="AM44" s="3">
        <f t="shared" si="15"/>
        <v>1</v>
      </c>
      <c r="AN44" s="3">
        <f t="shared" si="16"/>
        <v>1</v>
      </c>
      <c r="AO44" s="3">
        <f t="shared" si="17"/>
        <v>448.64</v>
      </c>
      <c r="AP44" s="44">
        <f t="shared" si="18"/>
        <v>12530</v>
      </c>
      <c r="AQ44" s="48">
        <f t="shared" si="19"/>
        <v>13.16666667</v>
      </c>
      <c r="AR44" s="46">
        <f t="shared" si="20"/>
        <v>0.002198033739</v>
      </c>
      <c r="AS44" s="47">
        <f t="shared" si="21"/>
        <v>0.001187755684</v>
      </c>
      <c r="AT44" s="5"/>
      <c r="AU44" s="49">
        <f t="shared" si="27"/>
        <v>12530</v>
      </c>
      <c r="AV44" s="50">
        <f t="shared" si="23"/>
        <v>1</v>
      </c>
      <c r="AW44" s="51">
        <f t="shared" si="24"/>
        <v>0.001215700523</v>
      </c>
      <c r="AX44" s="52">
        <f t="shared" si="25"/>
        <v>0.0006569304106</v>
      </c>
      <c r="AY44" s="5"/>
      <c r="AZ44" s="53">
        <f t="shared" si="26"/>
        <v>1</v>
      </c>
      <c r="BA44" s="5"/>
      <c r="BB44" s="5"/>
      <c r="BC44" s="5"/>
    </row>
    <row r="45" ht="12.75" customHeight="1">
      <c r="A45" s="25"/>
      <c r="B45" s="62" t="s">
        <v>112</v>
      </c>
      <c r="C45" s="62"/>
      <c r="D45" s="63">
        <v>21750.0</v>
      </c>
      <c r="E45" s="61" t="s">
        <v>39</v>
      </c>
      <c r="F45" s="88">
        <v>39780.0</v>
      </c>
      <c r="G45" s="31" t="s">
        <v>40</v>
      </c>
      <c r="H45" s="88">
        <v>39793.0</v>
      </c>
      <c r="I45" s="32">
        <f t="shared" si="1"/>
        <v>0.4333333333</v>
      </c>
      <c r="J45" s="64" t="s">
        <v>113</v>
      </c>
      <c r="K45" s="70">
        <v>17000.0</v>
      </c>
      <c r="L45" s="65">
        <f>38.12+8.44+57+21.12+52+7.84+1111.98</f>
        <v>1296.5</v>
      </c>
      <c r="M45" s="65">
        <v>0.0</v>
      </c>
      <c r="N45" s="65">
        <v>0.0</v>
      </c>
      <c r="O45" s="65">
        <f t="shared" si="30"/>
        <v>4750</v>
      </c>
      <c r="P45" s="35">
        <f t="shared" si="3"/>
        <v>6046.5</v>
      </c>
      <c r="Q45" s="36">
        <f t="shared" si="4"/>
        <v>0.278</v>
      </c>
      <c r="R45" s="36">
        <f t="shared" si="5"/>
        <v>0.722</v>
      </c>
      <c r="S45" s="37"/>
      <c r="T45" s="5"/>
      <c r="U45" s="54"/>
      <c r="V45" s="55"/>
      <c r="W45" s="55"/>
      <c r="X45" s="56"/>
      <c r="Y45" s="55"/>
      <c r="Z45" s="55"/>
      <c r="AA45" s="57"/>
      <c r="AB45" s="5"/>
      <c r="AC45" s="42">
        <f t="shared" si="6"/>
        <v>0</v>
      </c>
      <c r="AD45" s="3">
        <f t="shared" si="7"/>
        <v>1</v>
      </c>
      <c r="AE45" s="3">
        <f t="shared" si="8"/>
        <v>0</v>
      </c>
      <c r="AF45" s="43">
        <f t="shared" si="9"/>
        <v>0</v>
      </c>
      <c r="AG45" s="44">
        <f t="shared" si="10"/>
        <v>0</v>
      </c>
      <c r="AH45" s="45">
        <f t="shared" si="11"/>
        <v>0</v>
      </c>
      <c r="AI45" s="46">
        <f t="shared" si="12"/>
        <v>0</v>
      </c>
      <c r="AJ45" s="47">
        <f t="shared" si="13"/>
        <v>0</v>
      </c>
      <c r="AK45" s="5"/>
      <c r="AL45" s="42">
        <f t="shared" si="14"/>
        <v>1</v>
      </c>
      <c r="AM45" s="3">
        <f t="shared" si="15"/>
        <v>1</v>
      </c>
      <c r="AN45" s="3">
        <f t="shared" si="16"/>
        <v>1</v>
      </c>
      <c r="AO45" s="3">
        <f t="shared" si="17"/>
        <v>0</v>
      </c>
      <c r="AP45" s="44">
        <f t="shared" si="18"/>
        <v>21750</v>
      </c>
      <c r="AQ45" s="48">
        <f t="shared" si="19"/>
        <v>0.4333333333</v>
      </c>
      <c r="AR45" s="46">
        <f t="shared" si="20"/>
        <v>0.003815421694</v>
      </c>
      <c r="AS45" s="47">
        <f t="shared" si="21"/>
        <v>0.001060687231</v>
      </c>
      <c r="AT45" s="5"/>
      <c r="AU45" s="49">
        <f t="shared" si="27"/>
        <v>21750</v>
      </c>
      <c r="AV45" s="50">
        <f t="shared" si="23"/>
        <v>1</v>
      </c>
      <c r="AW45" s="51">
        <f t="shared" si="24"/>
        <v>0.0021102543</v>
      </c>
      <c r="AX45" s="52">
        <f t="shared" si="25"/>
        <v>0.0005866506955</v>
      </c>
      <c r="AY45" s="5"/>
      <c r="AZ45" s="53">
        <f t="shared" si="26"/>
        <v>1</v>
      </c>
      <c r="BA45" s="5"/>
      <c r="BB45" s="5"/>
      <c r="BC45" s="5"/>
    </row>
    <row r="46" ht="12.75" customHeight="1">
      <c r="A46" s="25"/>
      <c r="B46" s="62" t="s">
        <v>114</v>
      </c>
      <c r="C46" s="62"/>
      <c r="D46" s="63">
        <v>18500.0</v>
      </c>
      <c r="E46" s="61" t="s">
        <v>39</v>
      </c>
      <c r="F46" s="88">
        <v>39780.0</v>
      </c>
      <c r="G46" s="32" t="s">
        <v>40</v>
      </c>
      <c r="H46" s="88">
        <v>39863.0</v>
      </c>
      <c r="I46" s="32">
        <f t="shared" si="1"/>
        <v>2.766666667</v>
      </c>
      <c r="J46" s="64" t="s">
        <v>115</v>
      </c>
      <c r="K46" s="70">
        <v>15200.0</v>
      </c>
      <c r="L46" s="65">
        <v>426.23</v>
      </c>
      <c r="M46" s="65">
        <f>61.56</f>
        <v>61.56</v>
      </c>
      <c r="N46" s="65">
        <f>5.83+122.32+206.69</f>
        <v>334.84</v>
      </c>
      <c r="O46" s="65">
        <f t="shared" si="30"/>
        <v>3300</v>
      </c>
      <c r="P46" s="35">
        <f t="shared" si="3"/>
        <v>4122.63</v>
      </c>
      <c r="Q46" s="36">
        <f t="shared" si="4"/>
        <v>0.2228448649</v>
      </c>
      <c r="R46" s="36">
        <f t="shared" si="5"/>
        <v>0.7771551351</v>
      </c>
      <c r="S46" s="37"/>
      <c r="T46" s="5"/>
      <c r="U46" s="54"/>
      <c r="V46" s="55"/>
      <c r="W46" s="55"/>
      <c r="X46" s="56"/>
      <c r="Y46" s="55"/>
      <c r="Z46" s="55"/>
      <c r="AA46" s="57"/>
      <c r="AB46" s="5"/>
      <c r="AC46" s="42">
        <f t="shared" si="6"/>
        <v>0</v>
      </c>
      <c r="AD46" s="3">
        <f t="shared" si="7"/>
        <v>1</v>
      </c>
      <c r="AE46" s="3">
        <f t="shared" si="8"/>
        <v>0</v>
      </c>
      <c r="AF46" s="43">
        <f t="shared" si="9"/>
        <v>0</v>
      </c>
      <c r="AG46" s="44">
        <f t="shared" si="10"/>
        <v>0</v>
      </c>
      <c r="AH46" s="45">
        <f t="shared" si="11"/>
        <v>0</v>
      </c>
      <c r="AI46" s="46">
        <f t="shared" si="12"/>
        <v>0</v>
      </c>
      <c r="AJ46" s="47">
        <f t="shared" si="13"/>
        <v>0</v>
      </c>
      <c r="AK46" s="5"/>
      <c r="AL46" s="42">
        <f t="shared" si="14"/>
        <v>1</v>
      </c>
      <c r="AM46" s="3">
        <f t="shared" si="15"/>
        <v>1</v>
      </c>
      <c r="AN46" s="3">
        <f t="shared" si="16"/>
        <v>1</v>
      </c>
      <c r="AO46" s="3">
        <f t="shared" si="17"/>
        <v>396.4</v>
      </c>
      <c r="AP46" s="44">
        <f t="shared" si="18"/>
        <v>18500</v>
      </c>
      <c r="AQ46" s="48">
        <f t="shared" si="19"/>
        <v>2.766666667</v>
      </c>
      <c r="AR46" s="46">
        <f t="shared" si="20"/>
        <v>0.003245301211</v>
      </c>
      <c r="AS46" s="47">
        <f t="shared" si="21"/>
        <v>0.0007231987098</v>
      </c>
      <c r="AT46" s="5"/>
      <c r="AU46" s="49">
        <f t="shared" si="27"/>
        <v>18500</v>
      </c>
      <c r="AV46" s="50">
        <f t="shared" si="23"/>
        <v>1</v>
      </c>
      <c r="AW46" s="51">
        <f t="shared" si="24"/>
        <v>0.001794928945</v>
      </c>
      <c r="AX46" s="52">
        <f t="shared" si="25"/>
        <v>0.0003999906982</v>
      </c>
      <c r="AY46" s="5"/>
      <c r="AZ46" s="53">
        <f t="shared" si="26"/>
        <v>1</v>
      </c>
      <c r="BA46" s="5"/>
      <c r="BB46" s="5"/>
      <c r="BC46" s="5"/>
    </row>
    <row r="47" ht="12.75" customHeight="1">
      <c r="A47" s="25"/>
      <c r="B47" s="79" t="s">
        <v>116</v>
      </c>
      <c r="C47" s="79"/>
      <c r="D47" s="63">
        <v>21950.02</v>
      </c>
      <c r="E47" s="61" t="s">
        <v>39</v>
      </c>
      <c r="F47" s="88">
        <v>39782.0</v>
      </c>
      <c r="G47" s="32" t="s">
        <v>40</v>
      </c>
      <c r="H47" s="88">
        <v>39861.0</v>
      </c>
      <c r="I47" s="32">
        <f t="shared" si="1"/>
        <v>2.633333333</v>
      </c>
      <c r="J47" s="64" t="s">
        <v>117</v>
      </c>
      <c r="K47" s="70">
        <f>18000+3306.38</f>
        <v>21306.38</v>
      </c>
      <c r="L47" s="65">
        <f>40.72+9+55.84+52+7.92+1245.75</f>
        <v>1411.23</v>
      </c>
      <c r="M47" s="65">
        <v>55.72</v>
      </c>
      <c r="N47" s="65">
        <f>43.42+900</f>
        <v>943.42</v>
      </c>
      <c r="O47" s="65">
        <f t="shared" si="30"/>
        <v>643.64</v>
      </c>
      <c r="P47" s="35">
        <f t="shared" si="3"/>
        <v>3054.01</v>
      </c>
      <c r="Q47" s="36">
        <f t="shared" si="4"/>
        <v>0.1391347252</v>
      </c>
      <c r="R47" s="36">
        <f t="shared" si="5"/>
        <v>0.8608652748</v>
      </c>
      <c r="S47" s="37"/>
      <c r="T47" s="5"/>
      <c r="U47" s="54"/>
      <c r="V47" s="55"/>
      <c r="W47" s="55"/>
      <c r="X47" s="56"/>
      <c r="Y47" s="55"/>
      <c r="Z47" s="55"/>
      <c r="AA47" s="57"/>
      <c r="AB47" s="5"/>
      <c r="AC47" s="42">
        <f t="shared" si="6"/>
        <v>0</v>
      </c>
      <c r="AD47" s="3">
        <f t="shared" si="7"/>
        <v>1</v>
      </c>
      <c r="AE47" s="3">
        <f t="shared" si="8"/>
        <v>0</v>
      </c>
      <c r="AF47" s="43">
        <f t="shared" si="9"/>
        <v>0</v>
      </c>
      <c r="AG47" s="44">
        <f t="shared" si="10"/>
        <v>0</v>
      </c>
      <c r="AH47" s="45">
        <f t="shared" si="11"/>
        <v>0</v>
      </c>
      <c r="AI47" s="46">
        <f t="shared" si="12"/>
        <v>0</v>
      </c>
      <c r="AJ47" s="47">
        <f t="shared" si="13"/>
        <v>0</v>
      </c>
      <c r="AK47" s="5"/>
      <c r="AL47" s="42">
        <f t="shared" si="14"/>
        <v>1</v>
      </c>
      <c r="AM47" s="3">
        <f t="shared" si="15"/>
        <v>1</v>
      </c>
      <c r="AN47" s="3">
        <f t="shared" si="16"/>
        <v>1</v>
      </c>
      <c r="AO47" s="3">
        <f t="shared" si="17"/>
        <v>999.14</v>
      </c>
      <c r="AP47" s="44">
        <f t="shared" si="18"/>
        <v>21950.02</v>
      </c>
      <c r="AQ47" s="48">
        <f t="shared" si="19"/>
        <v>2.633333333</v>
      </c>
      <c r="AR47" s="46">
        <f t="shared" si="20"/>
        <v>0.00385050954</v>
      </c>
      <c r="AS47" s="47">
        <f t="shared" si="21"/>
        <v>0.0005357395865</v>
      </c>
      <c r="AT47" s="5"/>
      <c r="AU47" s="49">
        <f t="shared" si="27"/>
        <v>21950.02</v>
      </c>
      <c r="AV47" s="50">
        <f t="shared" si="23"/>
        <v>1</v>
      </c>
      <c r="AW47" s="51">
        <f t="shared" si="24"/>
        <v>0.002129660878</v>
      </c>
      <c r="AX47" s="52">
        <f t="shared" si="25"/>
        <v>0.0002963097809</v>
      </c>
      <c r="AY47" s="5"/>
      <c r="AZ47" s="53">
        <f t="shared" si="26"/>
        <v>1</v>
      </c>
      <c r="BA47" s="5"/>
      <c r="BB47" s="5"/>
      <c r="BC47" s="5"/>
    </row>
    <row r="48" ht="12.75" customHeight="1">
      <c r="A48" s="25"/>
      <c r="B48" s="27" t="s">
        <v>118</v>
      </c>
      <c r="C48" s="27"/>
      <c r="D48" s="28">
        <v>13330.95</v>
      </c>
      <c r="E48" s="61" t="s">
        <v>39</v>
      </c>
      <c r="F48" s="88">
        <v>39782.0</v>
      </c>
      <c r="G48" s="32" t="s">
        <v>40</v>
      </c>
      <c r="H48" s="88">
        <v>39868.0</v>
      </c>
      <c r="I48" s="32">
        <f t="shared" si="1"/>
        <v>2.866666667</v>
      </c>
      <c r="J48" s="64" t="s">
        <v>119</v>
      </c>
      <c r="K48" s="70">
        <v>12000.0</v>
      </c>
      <c r="L48" s="65">
        <f>12.5+2.76+32.56+8.08+26+3.74+212.29</f>
        <v>297.93</v>
      </c>
      <c r="M48" s="65">
        <f>50.7</f>
        <v>50.7</v>
      </c>
      <c r="N48" s="65">
        <f>50+295+9.74+50.7</f>
        <v>405.44</v>
      </c>
      <c r="O48" s="65">
        <f t="shared" si="30"/>
        <v>1330.95</v>
      </c>
      <c r="P48" s="35">
        <f t="shared" si="3"/>
        <v>2085.02</v>
      </c>
      <c r="Q48" s="36">
        <f t="shared" si="4"/>
        <v>0.1564044573</v>
      </c>
      <c r="R48" s="36">
        <f t="shared" si="5"/>
        <v>0.8435955427</v>
      </c>
      <c r="S48" s="37"/>
      <c r="T48" s="5"/>
      <c r="U48" s="54"/>
      <c r="V48" s="55"/>
      <c r="W48" s="55"/>
      <c r="X48" s="56"/>
      <c r="Y48" s="55"/>
      <c r="Z48" s="55"/>
      <c r="AA48" s="57"/>
      <c r="AB48" s="5"/>
      <c r="AC48" s="42">
        <f t="shared" si="6"/>
        <v>0</v>
      </c>
      <c r="AD48" s="3">
        <f t="shared" si="7"/>
        <v>1</v>
      </c>
      <c r="AE48" s="3">
        <f t="shared" si="8"/>
        <v>0</v>
      </c>
      <c r="AF48" s="43">
        <f t="shared" si="9"/>
        <v>0</v>
      </c>
      <c r="AG48" s="44">
        <f t="shared" si="10"/>
        <v>0</v>
      </c>
      <c r="AH48" s="45">
        <f t="shared" si="11"/>
        <v>0</v>
      </c>
      <c r="AI48" s="46">
        <f t="shared" si="12"/>
        <v>0</v>
      </c>
      <c r="AJ48" s="47">
        <f t="shared" si="13"/>
        <v>0</v>
      </c>
      <c r="AK48" s="5"/>
      <c r="AL48" s="42">
        <f t="shared" si="14"/>
        <v>1</v>
      </c>
      <c r="AM48" s="3">
        <f t="shared" si="15"/>
        <v>1</v>
      </c>
      <c r="AN48" s="3">
        <f t="shared" si="16"/>
        <v>1</v>
      </c>
      <c r="AO48" s="3">
        <f t="shared" si="17"/>
        <v>456.14</v>
      </c>
      <c r="AP48" s="44">
        <f t="shared" si="18"/>
        <v>13330.95</v>
      </c>
      <c r="AQ48" s="48">
        <f t="shared" si="19"/>
        <v>2.866666667</v>
      </c>
      <c r="AR48" s="46">
        <f t="shared" si="20"/>
        <v>0.002338537739</v>
      </c>
      <c r="AS48" s="47">
        <f t="shared" si="21"/>
        <v>0.000365757726</v>
      </c>
      <c r="AT48" s="5"/>
      <c r="AU48" s="49">
        <f t="shared" si="27"/>
        <v>13330.95</v>
      </c>
      <c r="AV48" s="50">
        <f t="shared" si="23"/>
        <v>1</v>
      </c>
      <c r="AW48" s="51">
        <f t="shared" si="24"/>
        <v>0.001293411244</v>
      </c>
      <c r="AX48" s="52">
        <f t="shared" si="25"/>
        <v>0.0002022952837</v>
      </c>
      <c r="AY48" s="5"/>
      <c r="AZ48" s="53">
        <f t="shared" si="26"/>
        <v>1</v>
      </c>
      <c r="BA48" s="5"/>
      <c r="BB48" s="5"/>
      <c r="BC48" s="5"/>
    </row>
    <row r="49" ht="12.75" customHeight="1">
      <c r="A49" s="25"/>
      <c r="B49" s="27" t="s">
        <v>120</v>
      </c>
      <c r="C49" s="89"/>
      <c r="D49" s="90">
        <v>17592.38</v>
      </c>
      <c r="E49" s="61" t="s">
        <v>39</v>
      </c>
      <c r="F49" s="91">
        <v>39782.0</v>
      </c>
      <c r="G49" s="31" t="s">
        <v>40</v>
      </c>
      <c r="H49" s="88">
        <v>40156.0</v>
      </c>
      <c r="I49" s="32">
        <f t="shared" si="1"/>
        <v>12.46666667</v>
      </c>
      <c r="J49" s="64" t="s">
        <v>66</v>
      </c>
      <c r="K49" s="70">
        <v>18500.0</v>
      </c>
      <c r="L49" s="65">
        <f>54.53+12.04+50.26+91+13.37+1397.59</f>
        <v>1618.79</v>
      </c>
      <c r="M49" s="65">
        <f>581.81+19.54+118.16+3.3+4.12+356+45.82+8.86</f>
        <v>1137.61</v>
      </c>
      <c r="N49" s="65">
        <f>6.75+1.02+900</f>
        <v>907.77</v>
      </c>
      <c r="O49" s="65">
        <f t="shared" si="30"/>
        <v>0</v>
      </c>
      <c r="P49" s="35">
        <f t="shared" si="3"/>
        <v>2756.55</v>
      </c>
      <c r="Q49" s="36">
        <f t="shared" si="4"/>
        <v>0.1566899987</v>
      </c>
      <c r="R49" s="36">
        <f t="shared" si="5"/>
        <v>0.8433100013</v>
      </c>
      <c r="S49" s="37"/>
      <c r="T49" s="5"/>
      <c r="U49" s="54"/>
      <c r="V49" s="55"/>
      <c r="W49" s="55"/>
      <c r="X49" s="56"/>
      <c r="Y49" s="55"/>
      <c r="Z49" s="55"/>
      <c r="AA49" s="57"/>
      <c r="AB49" s="5"/>
      <c r="AC49" s="42">
        <f t="shared" si="6"/>
        <v>0</v>
      </c>
      <c r="AD49" s="3">
        <f t="shared" si="7"/>
        <v>1</v>
      </c>
      <c r="AE49" s="3">
        <f t="shared" si="8"/>
        <v>0</v>
      </c>
      <c r="AF49" s="43">
        <f t="shared" si="9"/>
        <v>0</v>
      </c>
      <c r="AG49" s="44">
        <f t="shared" si="10"/>
        <v>0</v>
      </c>
      <c r="AH49" s="45">
        <f t="shared" si="11"/>
        <v>0</v>
      </c>
      <c r="AI49" s="46">
        <f t="shared" si="12"/>
        <v>0</v>
      </c>
      <c r="AJ49" s="47">
        <f t="shared" si="13"/>
        <v>0</v>
      </c>
      <c r="AK49" s="5"/>
      <c r="AL49" s="42">
        <f t="shared" si="14"/>
        <v>1</v>
      </c>
      <c r="AM49" s="3">
        <f t="shared" si="15"/>
        <v>1</v>
      </c>
      <c r="AN49" s="3">
        <f t="shared" si="16"/>
        <v>1</v>
      </c>
      <c r="AO49" s="3">
        <f t="shared" si="17"/>
        <v>2045.38</v>
      </c>
      <c r="AP49" s="44">
        <f t="shared" si="18"/>
        <v>17592.38</v>
      </c>
      <c r="AQ49" s="48">
        <f t="shared" si="19"/>
        <v>12.46666667</v>
      </c>
      <c r="AR49" s="46">
        <f t="shared" si="20"/>
        <v>0.003086084979</v>
      </c>
      <c r="AS49" s="47">
        <f t="shared" si="21"/>
        <v>0.0004835586515</v>
      </c>
      <c r="AT49" s="5"/>
      <c r="AU49" s="49">
        <f t="shared" si="27"/>
        <v>17592.38</v>
      </c>
      <c r="AV49" s="50">
        <f t="shared" si="23"/>
        <v>1</v>
      </c>
      <c r="AW49" s="51">
        <f t="shared" si="24"/>
        <v>0.001706868761</v>
      </c>
      <c r="AX49" s="52">
        <f t="shared" si="25"/>
        <v>0.000267449264</v>
      </c>
      <c r="AY49" s="5"/>
      <c r="AZ49" s="53">
        <f t="shared" si="26"/>
        <v>1</v>
      </c>
      <c r="BA49" s="5"/>
      <c r="BB49" s="5"/>
      <c r="BC49" s="5"/>
    </row>
    <row r="50" ht="12.75" customHeight="1">
      <c r="A50" s="25"/>
      <c r="B50" s="92" t="s">
        <v>121</v>
      </c>
      <c r="C50" s="93"/>
      <c r="D50" s="90">
        <v>21470.76</v>
      </c>
      <c r="E50" s="61" t="s">
        <v>49</v>
      </c>
      <c r="F50" s="91">
        <v>39782.0</v>
      </c>
      <c r="G50" s="32" t="s">
        <v>40</v>
      </c>
      <c r="H50" s="88">
        <v>40939.0</v>
      </c>
      <c r="I50" s="32">
        <f t="shared" si="1"/>
        <v>38.56666667</v>
      </c>
      <c r="J50" s="64" t="s">
        <v>122</v>
      </c>
      <c r="K50" s="70">
        <v>22000.0</v>
      </c>
      <c r="L50" s="65">
        <v>0.0</v>
      </c>
      <c r="M50" s="65">
        <v>0.0</v>
      </c>
      <c r="N50" s="65">
        <v>0.0</v>
      </c>
      <c r="O50" s="65">
        <v>779.51</v>
      </c>
      <c r="P50" s="35">
        <f t="shared" si="3"/>
        <v>0</v>
      </c>
      <c r="Q50" s="36">
        <f t="shared" si="4"/>
        <v>0</v>
      </c>
      <c r="R50" s="36">
        <f t="shared" si="5"/>
        <v>1</v>
      </c>
      <c r="S50" s="37"/>
      <c r="T50" s="5"/>
      <c r="U50" s="54"/>
      <c r="V50" s="55"/>
      <c r="W50" s="55"/>
      <c r="X50" s="56"/>
      <c r="Y50" s="55"/>
      <c r="Z50" s="55"/>
      <c r="AA50" s="57"/>
      <c r="AB50" s="5"/>
      <c r="AC50" s="42">
        <f t="shared" si="6"/>
        <v>1</v>
      </c>
      <c r="AD50" s="3">
        <f t="shared" si="7"/>
        <v>1</v>
      </c>
      <c r="AE50" s="3">
        <f t="shared" si="8"/>
        <v>1</v>
      </c>
      <c r="AF50" s="43">
        <f t="shared" si="9"/>
        <v>0</v>
      </c>
      <c r="AG50" s="44">
        <f t="shared" si="10"/>
        <v>21470.76</v>
      </c>
      <c r="AH50" s="45">
        <f t="shared" si="11"/>
        <v>38.56666667</v>
      </c>
      <c r="AI50" s="46">
        <f t="shared" si="12"/>
        <v>0.004646338029</v>
      </c>
      <c r="AJ50" s="47">
        <f t="shared" si="13"/>
        <v>0</v>
      </c>
      <c r="AK50" s="5"/>
      <c r="AL50" s="42">
        <f t="shared" si="14"/>
        <v>0</v>
      </c>
      <c r="AM50" s="3">
        <f t="shared" si="15"/>
        <v>1</v>
      </c>
      <c r="AN50" s="3">
        <f t="shared" si="16"/>
        <v>0</v>
      </c>
      <c r="AO50" s="3">
        <f t="shared" si="17"/>
        <v>0</v>
      </c>
      <c r="AP50" s="44">
        <f t="shared" si="18"/>
        <v>0</v>
      </c>
      <c r="AQ50" s="48">
        <f t="shared" si="19"/>
        <v>0</v>
      </c>
      <c r="AR50" s="46">
        <f t="shared" si="20"/>
        <v>0</v>
      </c>
      <c r="AS50" s="47">
        <f t="shared" si="21"/>
        <v>0</v>
      </c>
      <c r="AT50" s="5"/>
      <c r="AU50" s="49">
        <f t="shared" si="27"/>
        <v>21470.76</v>
      </c>
      <c r="AV50" s="50">
        <f t="shared" si="23"/>
        <v>1</v>
      </c>
      <c r="AW50" s="51">
        <f t="shared" si="24"/>
        <v>0.002083161546</v>
      </c>
      <c r="AX50" s="52">
        <f t="shared" si="25"/>
        <v>0</v>
      </c>
      <c r="AY50" s="5"/>
      <c r="AZ50" s="53">
        <f t="shared" si="26"/>
        <v>1</v>
      </c>
      <c r="BA50" s="5"/>
      <c r="BB50" s="5"/>
      <c r="BC50" s="5"/>
    </row>
    <row r="51" ht="12.75" customHeight="1">
      <c r="A51" s="25"/>
      <c r="B51" s="27" t="s">
        <v>123</v>
      </c>
      <c r="C51" s="89"/>
      <c r="D51" s="90">
        <v>22483.39</v>
      </c>
      <c r="E51" s="61" t="s">
        <v>49</v>
      </c>
      <c r="F51" s="91">
        <v>39813.0</v>
      </c>
      <c r="G51" s="32" t="s">
        <v>40</v>
      </c>
      <c r="H51" s="88">
        <v>40057.0</v>
      </c>
      <c r="I51" s="32">
        <f t="shared" si="1"/>
        <v>8.133333333</v>
      </c>
      <c r="J51" s="64" t="s">
        <v>124</v>
      </c>
      <c r="K51" s="70">
        <v>20500.0</v>
      </c>
      <c r="L51" s="65">
        <f>19.4+4.3+28.4+11.32+26+3.94+1167.52</f>
        <v>1260.88</v>
      </c>
      <c r="M51" s="65">
        <f>1249.34+63.06+1249.34+270.8+552.97</f>
        <v>3385.51</v>
      </c>
      <c r="N51" s="65">
        <v>563.0</v>
      </c>
      <c r="O51" s="65">
        <f t="shared" ref="O51:O56" si="31">IF(K51="N/A",0,IF(K51-D51&gt;0,0,D51-K51))</f>
        <v>1983.39</v>
      </c>
      <c r="P51" s="35">
        <f t="shared" si="3"/>
        <v>7192.78</v>
      </c>
      <c r="Q51" s="36">
        <f t="shared" si="4"/>
        <v>0.3199152797</v>
      </c>
      <c r="R51" s="36">
        <f t="shared" si="5"/>
        <v>0.6800847203</v>
      </c>
      <c r="S51" s="37"/>
      <c r="T51" s="5"/>
      <c r="U51" s="54"/>
      <c r="V51" s="55"/>
      <c r="W51" s="55"/>
      <c r="X51" s="56"/>
      <c r="Y51" s="55"/>
      <c r="Z51" s="55"/>
      <c r="AA51" s="57"/>
      <c r="AB51" s="5"/>
      <c r="AC51" s="42">
        <f t="shared" si="6"/>
        <v>1</v>
      </c>
      <c r="AD51" s="3">
        <f t="shared" si="7"/>
        <v>1</v>
      </c>
      <c r="AE51" s="3">
        <f t="shared" si="8"/>
        <v>1</v>
      </c>
      <c r="AF51" s="43">
        <f t="shared" si="9"/>
        <v>3948.51</v>
      </c>
      <c r="AG51" s="44">
        <f t="shared" si="10"/>
        <v>22483.39</v>
      </c>
      <c r="AH51" s="45">
        <f t="shared" si="11"/>
        <v>8.133333333</v>
      </c>
      <c r="AI51" s="46">
        <f t="shared" si="12"/>
        <v>0.004865474254</v>
      </c>
      <c r="AJ51" s="47">
        <f t="shared" si="13"/>
        <v>0.001556539557</v>
      </c>
      <c r="AK51" s="5"/>
      <c r="AL51" s="42">
        <f t="shared" si="14"/>
        <v>0</v>
      </c>
      <c r="AM51" s="3">
        <f t="shared" si="15"/>
        <v>1</v>
      </c>
      <c r="AN51" s="3">
        <f t="shared" si="16"/>
        <v>0</v>
      </c>
      <c r="AO51" s="3">
        <f t="shared" si="17"/>
        <v>0</v>
      </c>
      <c r="AP51" s="44">
        <f t="shared" si="18"/>
        <v>0</v>
      </c>
      <c r="AQ51" s="48">
        <f t="shared" si="19"/>
        <v>0</v>
      </c>
      <c r="AR51" s="46">
        <f t="shared" si="20"/>
        <v>0</v>
      </c>
      <c r="AS51" s="47">
        <f t="shared" si="21"/>
        <v>0</v>
      </c>
      <c r="AT51" s="5"/>
      <c r="AU51" s="49">
        <f t="shared" si="27"/>
        <v>22483.39</v>
      </c>
      <c r="AV51" s="50">
        <f t="shared" si="23"/>
        <v>1</v>
      </c>
      <c r="AW51" s="51">
        <f t="shared" si="24"/>
        <v>0.002181410135</v>
      </c>
      <c r="AX51" s="52">
        <f t="shared" si="25"/>
        <v>0.0006978664334</v>
      </c>
      <c r="AY51" s="5"/>
      <c r="AZ51" s="53">
        <f t="shared" si="26"/>
        <v>1</v>
      </c>
      <c r="BA51" s="5"/>
      <c r="BB51" s="5"/>
      <c r="BC51" s="5"/>
    </row>
    <row r="52" ht="12.75" customHeight="1">
      <c r="A52" s="25"/>
      <c r="B52" s="27" t="s">
        <v>125</v>
      </c>
      <c r="C52" s="89"/>
      <c r="D52" s="90">
        <v>24096.17</v>
      </c>
      <c r="E52" s="61" t="s">
        <v>49</v>
      </c>
      <c r="F52" s="91">
        <v>39813.0</v>
      </c>
      <c r="G52" s="31" t="s">
        <v>40</v>
      </c>
      <c r="H52" s="88">
        <v>40188.0</v>
      </c>
      <c r="I52" s="32">
        <f t="shared" si="1"/>
        <v>12.5</v>
      </c>
      <c r="J52" s="33" t="s">
        <v>126</v>
      </c>
      <c r="K52" s="70">
        <v>25000.0</v>
      </c>
      <c r="L52" s="65">
        <v>695.15</v>
      </c>
      <c r="M52" s="65">
        <f>1811.21+2325.06+487.07+487.07+553.61</f>
        <v>5664.02</v>
      </c>
      <c r="N52" s="65">
        <f>514.05+27.27+57.88+66.67+30+14.72+37.06</f>
        <v>747.65</v>
      </c>
      <c r="O52" s="65">
        <f t="shared" si="31"/>
        <v>0</v>
      </c>
      <c r="P52" s="35">
        <f t="shared" si="3"/>
        <v>6202.99</v>
      </c>
      <c r="Q52" s="36">
        <f t="shared" si="4"/>
        <v>0.2574263877</v>
      </c>
      <c r="R52" s="36">
        <f t="shared" si="5"/>
        <v>0.7425736123</v>
      </c>
      <c r="S52" s="37"/>
      <c r="T52" s="5"/>
      <c r="U52" s="54"/>
      <c r="V52" s="55"/>
      <c r="W52" s="55"/>
      <c r="X52" s="56"/>
      <c r="Y52" s="55"/>
      <c r="Z52" s="55"/>
      <c r="AA52" s="57"/>
      <c r="AB52" s="5"/>
      <c r="AC52" s="42">
        <f t="shared" si="6"/>
        <v>1</v>
      </c>
      <c r="AD52" s="3">
        <f t="shared" si="7"/>
        <v>1</v>
      </c>
      <c r="AE52" s="3">
        <f t="shared" si="8"/>
        <v>1</v>
      </c>
      <c r="AF52" s="43">
        <f t="shared" si="9"/>
        <v>6411.67</v>
      </c>
      <c r="AG52" s="44">
        <f t="shared" si="10"/>
        <v>24096.17</v>
      </c>
      <c r="AH52" s="45">
        <f t="shared" si="11"/>
        <v>12.5</v>
      </c>
      <c r="AI52" s="46">
        <f t="shared" si="12"/>
        <v>0.00521448477</v>
      </c>
      <c r="AJ52" s="47">
        <f t="shared" si="13"/>
        <v>0.001342345978</v>
      </c>
      <c r="AK52" s="5"/>
      <c r="AL52" s="42">
        <f t="shared" si="14"/>
        <v>0</v>
      </c>
      <c r="AM52" s="3">
        <f t="shared" si="15"/>
        <v>1</v>
      </c>
      <c r="AN52" s="3">
        <f t="shared" si="16"/>
        <v>0</v>
      </c>
      <c r="AO52" s="3">
        <f t="shared" si="17"/>
        <v>0</v>
      </c>
      <c r="AP52" s="44">
        <f t="shared" si="18"/>
        <v>0</v>
      </c>
      <c r="AQ52" s="48">
        <f t="shared" si="19"/>
        <v>0</v>
      </c>
      <c r="AR52" s="46">
        <f t="shared" si="20"/>
        <v>0</v>
      </c>
      <c r="AS52" s="47">
        <f t="shared" si="21"/>
        <v>0</v>
      </c>
      <c r="AT52" s="5"/>
      <c r="AU52" s="49">
        <f t="shared" si="27"/>
        <v>24096.17</v>
      </c>
      <c r="AV52" s="50">
        <f t="shared" si="23"/>
        <v>1</v>
      </c>
      <c r="AW52" s="51">
        <f t="shared" si="24"/>
        <v>0.002337887189</v>
      </c>
      <c r="AX52" s="52">
        <f t="shared" si="25"/>
        <v>0.0006018338539</v>
      </c>
      <c r="AY52" s="5"/>
      <c r="AZ52" s="53">
        <f t="shared" si="26"/>
        <v>1</v>
      </c>
      <c r="BA52" s="5"/>
      <c r="BB52" s="5"/>
      <c r="BC52" s="5"/>
    </row>
    <row r="53" ht="12.75" customHeight="1">
      <c r="A53" s="25"/>
      <c r="B53" s="27" t="s">
        <v>127</v>
      </c>
      <c r="C53" s="89"/>
      <c r="D53" s="90">
        <v>22340.82</v>
      </c>
      <c r="E53" s="61" t="s">
        <v>49</v>
      </c>
      <c r="F53" s="91">
        <v>39813.0</v>
      </c>
      <c r="G53" s="32" t="s">
        <v>40</v>
      </c>
      <c r="H53" s="88">
        <v>40247.0</v>
      </c>
      <c r="I53" s="32">
        <f t="shared" si="1"/>
        <v>14.46666667</v>
      </c>
      <c r="J53" s="64" t="s">
        <v>128</v>
      </c>
      <c r="K53" s="70" t="s">
        <v>129</v>
      </c>
      <c r="L53" s="65">
        <v>1878.78</v>
      </c>
      <c r="M53" s="65">
        <f>1787.9+111.94+910.6</f>
        <v>2810.44</v>
      </c>
      <c r="N53" s="65">
        <f>300+30.12+20.61+33.33+900+376.5</f>
        <v>1660.56</v>
      </c>
      <c r="O53" s="65">
        <f t="shared" si="31"/>
        <v>0</v>
      </c>
      <c r="P53" s="35">
        <f t="shared" si="3"/>
        <v>0</v>
      </c>
      <c r="Q53" s="36">
        <f t="shared" si="4"/>
        <v>0</v>
      </c>
      <c r="R53" s="36">
        <f t="shared" si="5"/>
        <v>1</v>
      </c>
      <c r="S53" s="37"/>
      <c r="T53" s="5"/>
      <c r="U53" s="54"/>
      <c r="V53" s="55"/>
      <c r="W53" s="55"/>
      <c r="X53" s="56"/>
      <c r="Y53" s="55"/>
      <c r="Z53" s="55"/>
      <c r="AA53" s="57"/>
      <c r="AB53" s="5"/>
      <c r="AC53" s="42">
        <f t="shared" si="6"/>
        <v>1</v>
      </c>
      <c r="AD53" s="3">
        <f t="shared" si="7"/>
        <v>1</v>
      </c>
      <c r="AE53" s="3">
        <f t="shared" si="8"/>
        <v>1</v>
      </c>
      <c r="AF53" s="43">
        <f t="shared" si="9"/>
        <v>4471</v>
      </c>
      <c r="AG53" s="44">
        <f t="shared" si="10"/>
        <v>22340.82</v>
      </c>
      <c r="AH53" s="45">
        <f t="shared" si="11"/>
        <v>14.46666667</v>
      </c>
      <c r="AI53" s="46">
        <f t="shared" si="12"/>
        <v>0.00483462167</v>
      </c>
      <c r="AJ53" s="47">
        <f t="shared" si="13"/>
        <v>0</v>
      </c>
      <c r="AK53" s="5"/>
      <c r="AL53" s="42">
        <f t="shared" si="14"/>
        <v>0</v>
      </c>
      <c r="AM53" s="3">
        <f t="shared" si="15"/>
        <v>1</v>
      </c>
      <c r="AN53" s="3">
        <f t="shared" si="16"/>
        <v>0</v>
      </c>
      <c r="AO53" s="3">
        <f t="shared" si="17"/>
        <v>0</v>
      </c>
      <c r="AP53" s="44">
        <f t="shared" si="18"/>
        <v>0</v>
      </c>
      <c r="AQ53" s="48">
        <f t="shared" si="19"/>
        <v>0</v>
      </c>
      <c r="AR53" s="46">
        <f t="shared" si="20"/>
        <v>0</v>
      </c>
      <c r="AS53" s="47">
        <f t="shared" si="21"/>
        <v>0</v>
      </c>
      <c r="AT53" s="5"/>
      <c r="AU53" s="49">
        <f t="shared" si="27"/>
        <v>22340.82</v>
      </c>
      <c r="AV53" s="50">
        <f t="shared" si="23"/>
        <v>1</v>
      </c>
      <c r="AW53" s="51">
        <f t="shared" si="24"/>
        <v>0.002167577539</v>
      </c>
      <c r="AX53" s="52">
        <f t="shared" si="25"/>
        <v>0</v>
      </c>
      <c r="AY53" s="5"/>
      <c r="AZ53" s="53">
        <f t="shared" si="26"/>
        <v>1</v>
      </c>
      <c r="BA53" s="5"/>
      <c r="BB53" s="5"/>
      <c r="BC53" s="5"/>
    </row>
    <row r="54" ht="12.75" customHeight="1">
      <c r="A54" s="25"/>
      <c r="B54" s="92" t="s">
        <v>130</v>
      </c>
      <c r="C54" s="93"/>
      <c r="D54" s="90">
        <v>57225.48</v>
      </c>
      <c r="E54" s="61" t="s">
        <v>49</v>
      </c>
      <c r="F54" s="91">
        <v>39813.0</v>
      </c>
      <c r="G54" s="32" t="s">
        <v>40</v>
      </c>
      <c r="H54" s="88">
        <v>40724.0</v>
      </c>
      <c r="I54" s="32">
        <f t="shared" si="1"/>
        <v>30.36666667</v>
      </c>
      <c r="J54" s="64" t="s">
        <v>131</v>
      </c>
      <c r="K54" s="70">
        <v>55000.0</v>
      </c>
      <c r="L54" s="65">
        <f>6197.22</f>
        <v>6197.22</v>
      </c>
      <c r="M54" s="65">
        <v>0.0</v>
      </c>
      <c r="N54" s="65">
        <v>0.0</v>
      </c>
      <c r="O54" s="65">
        <f t="shared" si="31"/>
        <v>2225.48</v>
      </c>
      <c r="P54" s="35">
        <f t="shared" si="3"/>
        <v>8422.7</v>
      </c>
      <c r="Q54" s="36">
        <f t="shared" si="4"/>
        <v>0.147184436</v>
      </c>
      <c r="R54" s="36">
        <f t="shared" si="5"/>
        <v>0.852815564</v>
      </c>
      <c r="S54" s="37"/>
      <c r="T54" s="5"/>
      <c r="U54" s="54"/>
      <c r="V54" s="55"/>
      <c r="W54" s="55"/>
      <c r="X54" s="56"/>
      <c r="Y54" s="55"/>
      <c r="Z54" s="55"/>
      <c r="AA54" s="57"/>
      <c r="AB54" s="5"/>
      <c r="AC54" s="42">
        <f t="shared" si="6"/>
        <v>1</v>
      </c>
      <c r="AD54" s="3">
        <f t="shared" si="7"/>
        <v>1</v>
      </c>
      <c r="AE54" s="3">
        <f t="shared" si="8"/>
        <v>1</v>
      </c>
      <c r="AF54" s="43">
        <f t="shared" si="9"/>
        <v>0</v>
      </c>
      <c r="AG54" s="44">
        <f t="shared" si="10"/>
        <v>57225.48</v>
      </c>
      <c r="AH54" s="45">
        <f t="shared" si="11"/>
        <v>30.36666667</v>
      </c>
      <c r="AI54" s="46">
        <f t="shared" si="12"/>
        <v>0.01238376862</v>
      </c>
      <c r="AJ54" s="47">
        <f t="shared" si="13"/>
        <v>0.001822698</v>
      </c>
      <c r="AK54" s="5"/>
      <c r="AL54" s="42">
        <f t="shared" si="14"/>
        <v>0</v>
      </c>
      <c r="AM54" s="3">
        <f t="shared" si="15"/>
        <v>1</v>
      </c>
      <c r="AN54" s="3">
        <f t="shared" si="16"/>
        <v>0</v>
      </c>
      <c r="AO54" s="3">
        <f t="shared" si="17"/>
        <v>0</v>
      </c>
      <c r="AP54" s="44">
        <f t="shared" si="18"/>
        <v>0</v>
      </c>
      <c r="AQ54" s="48">
        <f t="shared" si="19"/>
        <v>0</v>
      </c>
      <c r="AR54" s="46">
        <f t="shared" si="20"/>
        <v>0</v>
      </c>
      <c r="AS54" s="47">
        <f t="shared" si="21"/>
        <v>0</v>
      </c>
      <c r="AT54" s="5"/>
      <c r="AU54" s="49">
        <f t="shared" si="27"/>
        <v>57225.48</v>
      </c>
      <c r="AV54" s="50">
        <f t="shared" si="23"/>
        <v>1</v>
      </c>
      <c r="AW54" s="51">
        <f t="shared" si="24"/>
        <v>0.005552198402</v>
      </c>
      <c r="AX54" s="52">
        <f t="shared" si="25"/>
        <v>0.0008171971905</v>
      </c>
      <c r="AY54" s="5"/>
      <c r="AZ54" s="53">
        <f t="shared" si="26"/>
        <v>1</v>
      </c>
      <c r="BA54" s="5"/>
      <c r="BB54" s="5"/>
      <c r="BC54" s="5"/>
    </row>
    <row r="55" ht="12.75" customHeight="1">
      <c r="A55" s="25"/>
      <c r="B55" s="92" t="s">
        <v>132</v>
      </c>
      <c r="C55" s="93"/>
      <c r="D55" s="90">
        <v>10139.93</v>
      </c>
      <c r="E55" s="61" t="s">
        <v>49</v>
      </c>
      <c r="F55" s="91">
        <v>39813.0</v>
      </c>
      <c r="G55" s="31" t="s">
        <v>40</v>
      </c>
      <c r="H55" s="88">
        <v>40750.0</v>
      </c>
      <c r="I55" s="32">
        <f t="shared" si="1"/>
        <v>31.23333333</v>
      </c>
      <c r="J55" s="64" t="s">
        <v>129</v>
      </c>
      <c r="K55" s="70" t="s">
        <v>129</v>
      </c>
      <c r="L55" s="65">
        <f>1638.04</f>
        <v>1638.04</v>
      </c>
      <c r="M55" s="65">
        <v>0.0</v>
      </c>
      <c r="N55" s="65">
        <v>0.0</v>
      </c>
      <c r="O55" s="65">
        <f t="shared" si="31"/>
        <v>0</v>
      </c>
      <c r="P55" s="35">
        <f t="shared" si="3"/>
        <v>0</v>
      </c>
      <c r="Q55" s="36">
        <f t="shared" si="4"/>
        <v>0</v>
      </c>
      <c r="R55" s="36">
        <f t="shared" si="5"/>
        <v>1</v>
      </c>
      <c r="S55" s="37"/>
      <c r="T55" s="5"/>
      <c r="U55" s="54"/>
      <c r="V55" s="55"/>
      <c r="W55" s="55"/>
      <c r="X55" s="56"/>
      <c r="Y55" s="55"/>
      <c r="Z55" s="55"/>
      <c r="AA55" s="57"/>
      <c r="AB55" s="5"/>
      <c r="AC55" s="42">
        <f t="shared" si="6"/>
        <v>1</v>
      </c>
      <c r="AD55" s="3">
        <f t="shared" si="7"/>
        <v>1</v>
      </c>
      <c r="AE55" s="3">
        <f t="shared" si="8"/>
        <v>1</v>
      </c>
      <c r="AF55" s="43">
        <f t="shared" si="9"/>
        <v>0</v>
      </c>
      <c r="AG55" s="44">
        <f t="shared" si="10"/>
        <v>10139.93</v>
      </c>
      <c r="AH55" s="45">
        <f t="shared" si="11"/>
        <v>31.23333333</v>
      </c>
      <c r="AI55" s="46">
        <f t="shared" si="12"/>
        <v>0.002194311816</v>
      </c>
      <c r="AJ55" s="47">
        <f t="shared" si="13"/>
        <v>0</v>
      </c>
      <c r="AK55" s="5"/>
      <c r="AL55" s="42">
        <f t="shared" si="14"/>
        <v>0</v>
      </c>
      <c r="AM55" s="3">
        <f t="shared" si="15"/>
        <v>1</v>
      </c>
      <c r="AN55" s="3">
        <f t="shared" si="16"/>
        <v>0</v>
      </c>
      <c r="AO55" s="3">
        <f t="shared" si="17"/>
        <v>0</v>
      </c>
      <c r="AP55" s="44">
        <f t="shared" si="18"/>
        <v>0</v>
      </c>
      <c r="AQ55" s="48">
        <f t="shared" si="19"/>
        <v>0</v>
      </c>
      <c r="AR55" s="46">
        <f t="shared" si="20"/>
        <v>0</v>
      </c>
      <c r="AS55" s="47">
        <f t="shared" si="21"/>
        <v>0</v>
      </c>
      <c r="AT55" s="5"/>
      <c r="AU55" s="49">
        <f t="shared" si="27"/>
        <v>10139.93</v>
      </c>
      <c r="AV55" s="50">
        <f t="shared" si="23"/>
        <v>1</v>
      </c>
      <c r="AW55" s="51">
        <f t="shared" si="24"/>
        <v>0.0009838083166</v>
      </c>
      <c r="AX55" s="52">
        <f t="shared" si="25"/>
        <v>0</v>
      </c>
      <c r="AY55" s="5"/>
      <c r="AZ55" s="53">
        <f t="shared" si="26"/>
        <v>1</v>
      </c>
      <c r="BA55" s="5"/>
      <c r="BB55" s="5"/>
      <c r="BC55" s="5"/>
    </row>
    <row r="56" ht="12.75" customHeight="1">
      <c r="A56" s="25"/>
      <c r="B56" s="92" t="s">
        <v>133</v>
      </c>
      <c r="C56" s="93"/>
      <c r="D56" s="90">
        <v>14306.13</v>
      </c>
      <c r="E56" s="94" t="s">
        <v>49</v>
      </c>
      <c r="F56" s="91">
        <v>39813.0</v>
      </c>
      <c r="G56" s="32" t="s">
        <v>40</v>
      </c>
      <c r="H56" s="88">
        <v>40808.0</v>
      </c>
      <c r="I56" s="32">
        <f t="shared" si="1"/>
        <v>33.16666667</v>
      </c>
      <c r="J56" s="33" t="s">
        <v>134</v>
      </c>
      <c r="K56" s="70">
        <v>10000.0</v>
      </c>
      <c r="L56" s="65">
        <v>0.0</v>
      </c>
      <c r="M56" s="65">
        <v>0.0</v>
      </c>
      <c r="N56" s="65">
        <v>0.0</v>
      </c>
      <c r="O56" s="65">
        <f t="shared" si="31"/>
        <v>4306.13</v>
      </c>
      <c r="P56" s="35">
        <f t="shared" si="3"/>
        <v>4306.13</v>
      </c>
      <c r="Q56" s="36">
        <f t="shared" si="4"/>
        <v>0.3009989424</v>
      </c>
      <c r="R56" s="36">
        <f t="shared" si="5"/>
        <v>0.6990010576</v>
      </c>
      <c r="S56" s="37"/>
      <c r="T56" s="5"/>
      <c r="U56" s="54"/>
      <c r="V56" s="55"/>
      <c r="W56" s="55"/>
      <c r="X56" s="56"/>
      <c r="Y56" s="55"/>
      <c r="Z56" s="55"/>
      <c r="AA56" s="57"/>
      <c r="AB56" s="5"/>
      <c r="AC56" s="42">
        <f t="shared" si="6"/>
        <v>1</v>
      </c>
      <c r="AD56" s="3">
        <f t="shared" si="7"/>
        <v>1</v>
      </c>
      <c r="AE56" s="3">
        <f t="shared" si="8"/>
        <v>1</v>
      </c>
      <c r="AF56" s="43">
        <f t="shared" si="9"/>
        <v>0</v>
      </c>
      <c r="AG56" s="44">
        <f t="shared" si="10"/>
        <v>14306.13</v>
      </c>
      <c r="AH56" s="45">
        <f t="shared" si="11"/>
        <v>33.16666667</v>
      </c>
      <c r="AI56" s="46">
        <f t="shared" si="12"/>
        <v>0.003095890219</v>
      </c>
      <c r="AJ56" s="47">
        <f t="shared" si="13"/>
        <v>0.0009318596816</v>
      </c>
      <c r="AK56" s="5"/>
      <c r="AL56" s="42">
        <f t="shared" si="14"/>
        <v>0</v>
      </c>
      <c r="AM56" s="3">
        <f t="shared" si="15"/>
        <v>1</v>
      </c>
      <c r="AN56" s="3">
        <f t="shared" si="16"/>
        <v>0</v>
      </c>
      <c r="AO56" s="3">
        <f t="shared" si="17"/>
        <v>0</v>
      </c>
      <c r="AP56" s="44">
        <f t="shared" si="18"/>
        <v>0</v>
      </c>
      <c r="AQ56" s="48">
        <f t="shared" si="19"/>
        <v>0</v>
      </c>
      <c r="AR56" s="46">
        <f t="shared" si="20"/>
        <v>0</v>
      </c>
      <c r="AS56" s="47">
        <f t="shared" si="21"/>
        <v>0</v>
      </c>
      <c r="AT56" s="5"/>
      <c r="AU56" s="49">
        <f t="shared" si="27"/>
        <v>14306.13</v>
      </c>
      <c r="AV56" s="50">
        <f t="shared" si="23"/>
        <v>1</v>
      </c>
      <c r="AW56" s="51">
        <f t="shared" si="24"/>
        <v>0.001388026315</v>
      </c>
      <c r="AX56" s="52">
        <f t="shared" si="25"/>
        <v>0.0004177944529</v>
      </c>
      <c r="AY56" s="5"/>
      <c r="AZ56" s="53">
        <f t="shared" si="26"/>
        <v>1</v>
      </c>
      <c r="BA56" s="5"/>
      <c r="BB56" s="5"/>
      <c r="BC56" s="5"/>
    </row>
    <row r="57" ht="12.75" customHeight="1">
      <c r="A57" s="25"/>
      <c r="B57" s="27" t="s">
        <v>135</v>
      </c>
      <c r="C57" s="89"/>
      <c r="D57" s="90">
        <v>16965.0</v>
      </c>
      <c r="E57" s="29" t="s">
        <v>49</v>
      </c>
      <c r="F57" s="91">
        <v>39814.0</v>
      </c>
      <c r="G57" s="30" t="s">
        <v>40</v>
      </c>
      <c r="H57" s="88">
        <v>39994.0</v>
      </c>
      <c r="I57" s="32">
        <f t="shared" si="1"/>
        <v>6</v>
      </c>
      <c r="J57" s="64" t="s">
        <v>136</v>
      </c>
      <c r="K57" s="70">
        <v>18000.0</v>
      </c>
      <c r="L57" s="65">
        <v>0.0</v>
      </c>
      <c r="M57" s="65">
        <v>2039.0</v>
      </c>
      <c r="N57" s="65">
        <v>0.0</v>
      </c>
      <c r="O57" s="65">
        <v>0.0</v>
      </c>
      <c r="P57" s="35">
        <f t="shared" si="3"/>
        <v>1004</v>
      </c>
      <c r="Q57" s="36">
        <f t="shared" si="4"/>
        <v>0.05918066608</v>
      </c>
      <c r="R57" s="36">
        <f t="shared" si="5"/>
        <v>0.9408193339</v>
      </c>
      <c r="S57" s="37"/>
      <c r="T57" s="5"/>
      <c r="U57" s="54"/>
      <c r="V57" s="55"/>
      <c r="W57" s="55"/>
      <c r="X57" s="56"/>
      <c r="Y57" s="55"/>
      <c r="Z57" s="55"/>
      <c r="AA57" s="57"/>
      <c r="AB57" s="5"/>
      <c r="AC57" s="42">
        <f t="shared" si="6"/>
        <v>1</v>
      </c>
      <c r="AD57" s="3">
        <f t="shared" si="7"/>
        <v>1</v>
      </c>
      <c r="AE57" s="3">
        <f t="shared" si="8"/>
        <v>1</v>
      </c>
      <c r="AF57" s="43">
        <f t="shared" si="9"/>
        <v>2039</v>
      </c>
      <c r="AG57" s="44">
        <f t="shared" si="10"/>
        <v>16965</v>
      </c>
      <c r="AH57" s="45">
        <f t="shared" si="11"/>
        <v>6</v>
      </c>
      <c r="AI57" s="46">
        <f t="shared" si="12"/>
        <v>0.003671277806</v>
      </c>
      <c r="AJ57" s="47">
        <f t="shared" si="13"/>
        <v>0.0002172686659</v>
      </c>
      <c r="AK57" s="5"/>
      <c r="AL57" s="42">
        <f t="shared" si="14"/>
        <v>0</v>
      </c>
      <c r="AM57" s="3">
        <f t="shared" si="15"/>
        <v>1</v>
      </c>
      <c r="AN57" s="3">
        <f t="shared" si="16"/>
        <v>0</v>
      </c>
      <c r="AO57" s="3">
        <f t="shared" si="17"/>
        <v>0</v>
      </c>
      <c r="AP57" s="44">
        <f t="shared" si="18"/>
        <v>0</v>
      </c>
      <c r="AQ57" s="48">
        <f t="shared" si="19"/>
        <v>0</v>
      </c>
      <c r="AR57" s="46">
        <f t="shared" si="20"/>
        <v>0</v>
      </c>
      <c r="AS57" s="47">
        <f t="shared" si="21"/>
        <v>0</v>
      </c>
      <c r="AT57" s="5"/>
      <c r="AU57" s="49">
        <f t="shared" si="27"/>
        <v>16965</v>
      </c>
      <c r="AV57" s="50">
        <f t="shared" si="23"/>
        <v>1</v>
      </c>
      <c r="AW57" s="51">
        <f t="shared" si="24"/>
        <v>0.001645998354</v>
      </c>
      <c r="AX57" s="52">
        <f t="shared" si="25"/>
        <v>0.00009741127896</v>
      </c>
      <c r="AY57" s="5"/>
      <c r="AZ57" s="53">
        <f t="shared" si="26"/>
        <v>1</v>
      </c>
      <c r="BA57" s="5"/>
      <c r="BB57" s="5"/>
      <c r="BC57" s="5"/>
    </row>
    <row r="58" ht="12.75" customHeight="1">
      <c r="A58" s="25"/>
      <c r="B58" s="27" t="s">
        <v>137</v>
      </c>
      <c r="C58" s="89"/>
      <c r="D58" s="90">
        <v>14139.6</v>
      </c>
      <c r="E58" s="94" t="s">
        <v>39</v>
      </c>
      <c r="F58" s="91">
        <v>39845.0</v>
      </c>
      <c r="G58" s="31" t="s">
        <v>40</v>
      </c>
      <c r="H58" s="88">
        <v>39873.0</v>
      </c>
      <c r="I58" s="32">
        <f t="shared" si="1"/>
        <v>0.9333333333</v>
      </c>
      <c r="J58" s="64" t="s">
        <v>138</v>
      </c>
      <c r="K58" s="70">
        <v>14500.0</v>
      </c>
      <c r="L58" s="65">
        <f>24.88+5.52+25.92+14.88+52+7.48+538.2</f>
        <v>668.88</v>
      </c>
      <c r="M58" s="65">
        <f>73.16+3.81</f>
        <v>76.97</v>
      </c>
      <c r="N58" s="65">
        <v>0.0</v>
      </c>
      <c r="O58" s="65">
        <f t="shared" ref="O58:O62" si="32">IF(K58="N/A",0,IF(K58-D58&gt;0,0,D58-K58))</f>
        <v>0</v>
      </c>
      <c r="P58" s="35">
        <f t="shared" si="3"/>
        <v>385.45</v>
      </c>
      <c r="Q58" s="36">
        <f t="shared" si="4"/>
        <v>0.02726031854</v>
      </c>
      <c r="R58" s="36">
        <f t="shared" si="5"/>
        <v>0.9727396815</v>
      </c>
      <c r="S58" s="37"/>
      <c r="T58" s="5"/>
      <c r="U58" s="54"/>
      <c r="V58" s="55"/>
      <c r="W58" s="55"/>
      <c r="X58" s="56"/>
      <c r="Y58" s="55"/>
      <c r="Z58" s="55"/>
      <c r="AA58" s="57"/>
      <c r="AB58" s="5"/>
      <c r="AC58" s="42">
        <f t="shared" si="6"/>
        <v>0</v>
      </c>
      <c r="AD58" s="3">
        <f t="shared" si="7"/>
        <v>1</v>
      </c>
      <c r="AE58" s="3">
        <f t="shared" si="8"/>
        <v>0</v>
      </c>
      <c r="AF58" s="43">
        <f t="shared" si="9"/>
        <v>0</v>
      </c>
      <c r="AG58" s="44">
        <f t="shared" si="10"/>
        <v>0</v>
      </c>
      <c r="AH58" s="45">
        <f t="shared" si="11"/>
        <v>0</v>
      </c>
      <c r="AI58" s="46">
        <f t="shared" si="12"/>
        <v>0</v>
      </c>
      <c r="AJ58" s="47">
        <f t="shared" si="13"/>
        <v>0</v>
      </c>
      <c r="AK58" s="5"/>
      <c r="AL58" s="42">
        <f t="shared" si="14"/>
        <v>1</v>
      </c>
      <c r="AM58" s="3">
        <f t="shared" si="15"/>
        <v>1</v>
      </c>
      <c r="AN58" s="3">
        <f t="shared" si="16"/>
        <v>1</v>
      </c>
      <c r="AO58" s="3">
        <f t="shared" si="17"/>
        <v>76.97</v>
      </c>
      <c r="AP58" s="44">
        <f t="shared" si="18"/>
        <v>14139.6</v>
      </c>
      <c r="AQ58" s="48">
        <f t="shared" si="19"/>
        <v>0.9333333333</v>
      </c>
      <c r="AR58" s="46">
        <f t="shared" si="20"/>
        <v>0.002480392487</v>
      </c>
      <c r="AS58" s="47">
        <f t="shared" si="21"/>
        <v>0.00006761628928</v>
      </c>
      <c r="AT58" s="5"/>
      <c r="AU58" s="49">
        <f t="shared" si="27"/>
        <v>14139.6</v>
      </c>
      <c r="AV58" s="50">
        <f t="shared" si="23"/>
        <v>1</v>
      </c>
      <c r="AW58" s="51">
        <f t="shared" si="24"/>
        <v>0.001371869044</v>
      </c>
      <c r="AX58" s="52">
        <f t="shared" si="25"/>
        <v>0.00003739758713</v>
      </c>
      <c r="AY58" s="5"/>
      <c r="AZ58" s="53">
        <f t="shared" si="26"/>
        <v>1</v>
      </c>
      <c r="BA58" s="5"/>
      <c r="BB58" s="5"/>
      <c r="BC58" s="5"/>
    </row>
    <row r="59" ht="12.75" customHeight="1">
      <c r="A59" s="25"/>
      <c r="B59" s="27" t="s">
        <v>139</v>
      </c>
      <c r="C59" s="89"/>
      <c r="D59" s="90">
        <v>17775.92</v>
      </c>
      <c r="E59" s="94" t="s">
        <v>39</v>
      </c>
      <c r="F59" s="91">
        <v>39845.0</v>
      </c>
      <c r="G59" s="32" t="s">
        <v>40</v>
      </c>
      <c r="H59" s="88">
        <v>39873.0</v>
      </c>
      <c r="I59" s="32">
        <f t="shared" si="1"/>
        <v>0.9333333333</v>
      </c>
      <c r="J59" s="64" t="s">
        <v>140</v>
      </c>
      <c r="K59" s="70">
        <v>17000.0</v>
      </c>
      <c r="L59" s="65">
        <v>641.63</v>
      </c>
      <c r="M59" s="65">
        <f>123.15+64.53+8.45</f>
        <v>196.13</v>
      </c>
      <c r="N59" s="65">
        <v>0.0</v>
      </c>
      <c r="O59" s="65">
        <f t="shared" si="32"/>
        <v>775.92</v>
      </c>
      <c r="P59" s="35">
        <f t="shared" si="3"/>
        <v>1613.68</v>
      </c>
      <c r="Q59" s="36">
        <f t="shared" si="4"/>
        <v>0.0907789864</v>
      </c>
      <c r="R59" s="36">
        <f t="shared" si="5"/>
        <v>0.9092210136</v>
      </c>
      <c r="S59" s="37"/>
      <c r="T59" s="5"/>
      <c r="U59" s="54"/>
      <c r="V59" s="55"/>
      <c r="W59" s="55"/>
      <c r="X59" s="56"/>
      <c r="Y59" s="55"/>
      <c r="Z59" s="55"/>
      <c r="AA59" s="57"/>
      <c r="AB59" s="5"/>
      <c r="AC59" s="42">
        <f t="shared" si="6"/>
        <v>0</v>
      </c>
      <c r="AD59" s="3">
        <f t="shared" si="7"/>
        <v>1</v>
      </c>
      <c r="AE59" s="3">
        <f t="shared" si="8"/>
        <v>0</v>
      </c>
      <c r="AF59" s="43">
        <f t="shared" si="9"/>
        <v>0</v>
      </c>
      <c r="AG59" s="44">
        <f t="shared" si="10"/>
        <v>0</v>
      </c>
      <c r="AH59" s="45">
        <f t="shared" si="11"/>
        <v>0</v>
      </c>
      <c r="AI59" s="46">
        <f t="shared" si="12"/>
        <v>0</v>
      </c>
      <c r="AJ59" s="47">
        <f t="shared" si="13"/>
        <v>0</v>
      </c>
      <c r="AK59" s="5"/>
      <c r="AL59" s="42">
        <f t="shared" si="14"/>
        <v>1</v>
      </c>
      <c r="AM59" s="3">
        <f t="shared" si="15"/>
        <v>1</v>
      </c>
      <c r="AN59" s="3">
        <f t="shared" si="16"/>
        <v>1</v>
      </c>
      <c r="AO59" s="3">
        <f t="shared" si="17"/>
        <v>196.13</v>
      </c>
      <c r="AP59" s="44">
        <f t="shared" si="18"/>
        <v>17775.92</v>
      </c>
      <c r="AQ59" s="48">
        <f t="shared" si="19"/>
        <v>0.9333333333</v>
      </c>
      <c r="AR59" s="46">
        <f t="shared" si="20"/>
        <v>0.003118281876</v>
      </c>
      <c r="AS59" s="47">
        <f t="shared" si="21"/>
        <v>0.000283074468</v>
      </c>
      <c r="AT59" s="5"/>
      <c r="AU59" s="49">
        <f t="shared" si="27"/>
        <v>17775.92</v>
      </c>
      <c r="AV59" s="50">
        <f t="shared" si="23"/>
        <v>1</v>
      </c>
      <c r="AW59" s="51">
        <f t="shared" si="24"/>
        <v>0.001724676396</v>
      </c>
      <c r="AX59" s="52">
        <f t="shared" si="25"/>
        <v>0.0001565643751</v>
      </c>
      <c r="AY59" s="5"/>
      <c r="AZ59" s="53">
        <f t="shared" si="26"/>
        <v>1</v>
      </c>
      <c r="BA59" s="5"/>
      <c r="BB59" s="5"/>
      <c r="BC59" s="5"/>
    </row>
    <row r="60" ht="12.75" customHeight="1">
      <c r="A60" s="25"/>
      <c r="B60" s="27" t="s">
        <v>141</v>
      </c>
      <c r="C60" s="89"/>
      <c r="D60" s="90">
        <v>11859.58</v>
      </c>
      <c r="E60" s="94" t="s">
        <v>39</v>
      </c>
      <c r="F60" s="91">
        <v>39845.0</v>
      </c>
      <c r="G60" s="32" t="s">
        <v>40</v>
      </c>
      <c r="H60" s="88">
        <v>39873.0</v>
      </c>
      <c r="I60" s="32">
        <f t="shared" si="1"/>
        <v>0.9333333333</v>
      </c>
      <c r="J60" s="64" t="s">
        <v>142</v>
      </c>
      <c r="K60" s="70">
        <v>12000.0</v>
      </c>
      <c r="L60" s="65">
        <v>664.0</v>
      </c>
      <c r="M60" s="65">
        <f>30.42</f>
        <v>30.42</v>
      </c>
      <c r="N60" s="65">
        <v>0.0</v>
      </c>
      <c r="O60" s="65">
        <f t="shared" si="32"/>
        <v>0</v>
      </c>
      <c r="P60" s="35">
        <f t="shared" si="3"/>
        <v>554</v>
      </c>
      <c r="Q60" s="36">
        <f t="shared" si="4"/>
        <v>0.04671329002</v>
      </c>
      <c r="R60" s="36">
        <f t="shared" si="5"/>
        <v>0.95328671</v>
      </c>
      <c r="S60" s="37"/>
      <c r="T60" s="5"/>
      <c r="U60" s="54"/>
      <c r="V60" s="55"/>
      <c r="W60" s="55"/>
      <c r="X60" s="56"/>
      <c r="Y60" s="55"/>
      <c r="Z60" s="55"/>
      <c r="AA60" s="57"/>
      <c r="AB60" s="5"/>
      <c r="AC60" s="42">
        <f t="shared" si="6"/>
        <v>0</v>
      </c>
      <c r="AD60" s="3">
        <f t="shared" si="7"/>
        <v>1</v>
      </c>
      <c r="AE60" s="3">
        <f t="shared" si="8"/>
        <v>0</v>
      </c>
      <c r="AF60" s="43">
        <f t="shared" si="9"/>
        <v>0</v>
      </c>
      <c r="AG60" s="44">
        <f t="shared" si="10"/>
        <v>0</v>
      </c>
      <c r="AH60" s="45">
        <f t="shared" si="11"/>
        <v>0</v>
      </c>
      <c r="AI60" s="46">
        <f t="shared" si="12"/>
        <v>0</v>
      </c>
      <c r="AJ60" s="47">
        <f t="shared" si="13"/>
        <v>0</v>
      </c>
      <c r="AK60" s="5"/>
      <c r="AL60" s="42">
        <f t="shared" si="14"/>
        <v>1</v>
      </c>
      <c r="AM60" s="3">
        <f t="shared" si="15"/>
        <v>1</v>
      </c>
      <c r="AN60" s="3">
        <f t="shared" si="16"/>
        <v>1</v>
      </c>
      <c r="AO60" s="3">
        <f t="shared" si="17"/>
        <v>30.42</v>
      </c>
      <c r="AP60" s="44">
        <f t="shared" si="18"/>
        <v>11859.58</v>
      </c>
      <c r="AQ60" s="48">
        <f t="shared" si="19"/>
        <v>0.9333333333</v>
      </c>
      <c r="AR60" s="46">
        <f t="shared" si="20"/>
        <v>0.002080427532</v>
      </c>
      <c r="AS60" s="47">
        <f t="shared" si="21"/>
        <v>0.00009718361464</v>
      </c>
      <c r="AT60" s="5"/>
      <c r="AU60" s="49">
        <f t="shared" si="27"/>
        <v>11859.58</v>
      </c>
      <c r="AV60" s="50">
        <f t="shared" si="23"/>
        <v>1</v>
      </c>
      <c r="AW60" s="51">
        <f t="shared" si="24"/>
        <v>0.001150654239</v>
      </c>
      <c r="AX60" s="52">
        <f t="shared" si="25"/>
        <v>0.00005375084516</v>
      </c>
      <c r="AY60" s="5"/>
      <c r="AZ60" s="53">
        <f t="shared" si="26"/>
        <v>1</v>
      </c>
      <c r="BA60" s="5"/>
      <c r="BB60" s="5"/>
      <c r="BC60" s="5"/>
    </row>
    <row r="61" ht="12.75" customHeight="1">
      <c r="A61" s="25"/>
      <c r="B61" s="27" t="s">
        <v>143</v>
      </c>
      <c r="C61" s="89"/>
      <c r="D61" s="90">
        <v>15272.88</v>
      </c>
      <c r="E61" s="94" t="s">
        <v>39</v>
      </c>
      <c r="F61" s="91">
        <v>39845.0</v>
      </c>
      <c r="G61" s="32" t="s">
        <v>40</v>
      </c>
      <c r="H61" s="88">
        <v>39933.0</v>
      </c>
      <c r="I61" s="32">
        <f t="shared" si="1"/>
        <v>2.933333333</v>
      </c>
      <c r="J61" s="64" t="s">
        <v>144</v>
      </c>
      <c r="K61" s="70">
        <v>11000.0</v>
      </c>
      <c r="L61" s="65">
        <f>7.15+1.58+6.24+3.97+13+1.9+218.49</f>
        <v>252.33</v>
      </c>
      <c r="M61" s="65">
        <f>19.26+244.02</f>
        <v>263.28</v>
      </c>
      <c r="N61" s="65">
        <v>0.0</v>
      </c>
      <c r="O61" s="65">
        <f t="shared" si="32"/>
        <v>4272.88</v>
      </c>
      <c r="P61" s="35">
        <f t="shared" si="3"/>
        <v>4788.49</v>
      </c>
      <c r="Q61" s="36">
        <f t="shared" si="4"/>
        <v>0.313528948</v>
      </c>
      <c r="R61" s="36">
        <f t="shared" si="5"/>
        <v>0.686471052</v>
      </c>
      <c r="S61" s="37"/>
      <c r="T61" s="5"/>
      <c r="U61" s="54"/>
      <c r="V61" s="55"/>
      <c r="W61" s="55"/>
      <c r="X61" s="56"/>
      <c r="Y61" s="55"/>
      <c r="Z61" s="55"/>
      <c r="AA61" s="57"/>
      <c r="AB61" s="5"/>
      <c r="AC61" s="42">
        <f t="shared" si="6"/>
        <v>0</v>
      </c>
      <c r="AD61" s="3">
        <f t="shared" si="7"/>
        <v>1</v>
      </c>
      <c r="AE61" s="3">
        <f t="shared" si="8"/>
        <v>0</v>
      </c>
      <c r="AF61" s="43">
        <f t="shared" si="9"/>
        <v>0</v>
      </c>
      <c r="AG61" s="44">
        <f t="shared" si="10"/>
        <v>0</v>
      </c>
      <c r="AH61" s="45">
        <f t="shared" si="11"/>
        <v>0</v>
      </c>
      <c r="AI61" s="46">
        <f t="shared" si="12"/>
        <v>0</v>
      </c>
      <c r="AJ61" s="47">
        <f t="shared" si="13"/>
        <v>0</v>
      </c>
      <c r="AK61" s="5"/>
      <c r="AL61" s="42">
        <f t="shared" si="14"/>
        <v>1</v>
      </c>
      <c r="AM61" s="3">
        <f t="shared" si="15"/>
        <v>1</v>
      </c>
      <c r="AN61" s="3">
        <f t="shared" si="16"/>
        <v>1</v>
      </c>
      <c r="AO61" s="3">
        <f t="shared" si="17"/>
        <v>263.28</v>
      </c>
      <c r="AP61" s="44">
        <f t="shared" si="18"/>
        <v>15272.88</v>
      </c>
      <c r="AQ61" s="48">
        <f t="shared" si="19"/>
        <v>2.933333333</v>
      </c>
      <c r="AR61" s="46">
        <f t="shared" si="20"/>
        <v>0.002679194376</v>
      </c>
      <c r="AS61" s="47">
        <f t="shared" si="21"/>
        <v>0.0008400049943</v>
      </c>
      <c r="AT61" s="5"/>
      <c r="AU61" s="49">
        <f t="shared" si="27"/>
        <v>15272.88</v>
      </c>
      <c r="AV61" s="50">
        <f t="shared" si="23"/>
        <v>1</v>
      </c>
      <c r="AW61" s="51">
        <f t="shared" si="24"/>
        <v>0.00148182348</v>
      </c>
      <c r="AX61" s="52">
        <f t="shared" si="25"/>
        <v>0.000464594557</v>
      </c>
      <c r="AY61" s="5"/>
      <c r="AZ61" s="53">
        <f t="shared" si="26"/>
        <v>1</v>
      </c>
      <c r="BA61" s="5"/>
      <c r="BB61" s="5"/>
      <c r="BC61" s="5"/>
    </row>
    <row r="62" ht="12.75" customHeight="1">
      <c r="A62" s="25"/>
      <c r="B62" s="27" t="s">
        <v>145</v>
      </c>
      <c r="C62" s="89"/>
      <c r="D62" s="90">
        <v>21898.24</v>
      </c>
      <c r="E62" s="94" t="s">
        <v>39</v>
      </c>
      <c r="F62" s="91">
        <v>39845.0</v>
      </c>
      <c r="G62" s="32" t="s">
        <v>40</v>
      </c>
      <c r="H62" s="88">
        <v>39934.0</v>
      </c>
      <c r="I62" s="32">
        <f t="shared" si="1"/>
        <v>2.966666667</v>
      </c>
      <c r="J62" s="64" t="s">
        <v>146</v>
      </c>
      <c r="K62" s="70">
        <v>20700.0</v>
      </c>
      <c r="L62" s="65">
        <f>38.96+8.6+138.2+28.52+52+7.88+1149.59</f>
        <v>1423.75</v>
      </c>
      <c r="M62" s="65">
        <v>1796.57</v>
      </c>
      <c r="N62" s="65">
        <v>0.0</v>
      </c>
      <c r="O62" s="65">
        <f t="shared" si="32"/>
        <v>1198.24</v>
      </c>
      <c r="P62" s="35">
        <f t="shared" si="3"/>
        <v>4418.56</v>
      </c>
      <c r="Q62" s="36">
        <f t="shared" si="4"/>
        <v>0.2017769465</v>
      </c>
      <c r="R62" s="36">
        <f t="shared" si="5"/>
        <v>0.7982230535</v>
      </c>
      <c r="S62" s="37"/>
      <c r="T62" s="5"/>
      <c r="U62" s="54"/>
      <c r="V62" s="55"/>
      <c r="W62" s="55"/>
      <c r="X62" s="56"/>
      <c r="Y62" s="55"/>
      <c r="Z62" s="55"/>
      <c r="AA62" s="57"/>
      <c r="AB62" s="5"/>
      <c r="AC62" s="42">
        <f t="shared" si="6"/>
        <v>0</v>
      </c>
      <c r="AD62" s="3">
        <f t="shared" si="7"/>
        <v>1</v>
      </c>
      <c r="AE62" s="3">
        <f t="shared" si="8"/>
        <v>0</v>
      </c>
      <c r="AF62" s="43">
        <f t="shared" si="9"/>
        <v>0</v>
      </c>
      <c r="AG62" s="44">
        <f t="shared" si="10"/>
        <v>0</v>
      </c>
      <c r="AH62" s="45">
        <f t="shared" si="11"/>
        <v>0</v>
      </c>
      <c r="AI62" s="46">
        <f t="shared" si="12"/>
        <v>0</v>
      </c>
      <c r="AJ62" s="47">
        <f t="shared" si="13"/>
        <v>0</v>
      </c>
      <c r="AK62" s="5"/>
      <c r="AL62" s="42">
        <f t="shared" si="14"/>
        <v>1</v>
      </c>
      <c r="AM62" s="3">
        <f t="shared" si="15"/>
        <v>1</v>
      </c>
      <c r="AN62" s="3">
        <f t="shared" si="16"/>
        <v>1</v>
      </c>
      <c r="AO62" s="3">
        <f t="shared" si="17"/>
        <v>1796.57</v>
      </c>
      <c r="AP62" s="44">
        <f t="shared" si="18"/>
        <v>21898.24</v>
      </c>
      <c r="AQ62" s="48">
        <f t="shared" si="19"/>
        <v>2.966666667</v>
      </c>
      <c r="AR62" s="46">
        <f t="shared" si="20"/>
        <v>0.003841426205</v>
      </c>
      <c r="AS62" s="47">
        <f t="shared" si="21"/>
        <v>0.0007751112496</v>
      </c>
      <c r="AT62" s="5"/>
      <c r="AU62" s="49">
        <f t="shared" si="27"/>
        <v>21898.24</v>
      </c>
      <c r="AV62" s="50">
        <f t="shared" si="23"/>
        <v>1</v>
      </c>
      <c r="AW62" s="51">
        <f t="shared" si="24"/>
        <v>0.002124637017</v>
      </c>
      <c r="AX62" s="52">
        <f t="shared" si="25"/>
        <v>0.0004287027697</v>
      </c>
      <c r="AY62" s="5"/>
      <c r="AZ62" s="53">
        <f t="shared" si="26"/>
        <v>1</v>
      </c>
      <c r="BA62" s="5"/>
      <c r="BB62" s="5"/>
      <c r="BC62" s="5"/>
    </row>
    <row r="63" ht="12.75" customHeight="1">
      <c r="A63" s="25"/>
      <c r="B63" s="27" t="s">
        <v>147</v>
      </c>
      <c r="C63" s="89"/>
      <c r="D63" s="90">
        <v>20463.39</v>
      </c>
      <c r="E63" s="94" t="s">
        <v>49</v>
      </c>
      <c r="F63" s="91">
        <v>39845.0</v>
      </c>
      <c r="G63" s="66" t="s">
        <v>40</v>
      </c>
      <c r="H63" s="88">
        <v>39970.0</v>
      </c>
      <c r="I63" s="32">
        <f t="shared" si="1"/>
        <v>4.166666667</v>
      </c>
      <c r="J63" s="64" t="s">
        <v>148</v>
      </c>
      <c r="K63" s="70">
        <v>23564.64</v>
      </c>
      <c r="L63" s="65">
        <v>808.79</v>
      </c>
      <c r="M63" s="65">
        <f>859.77+32.98+281.27</f>
        <v>1174.02</v>
      </c>
      <c r="N63" s="65">
        <v>0.0</v>
      </c>
      <c r="O63" s="65">
        <v>0.0</v>
      </c>
      <c r="P63" s="35">
        <f t="shared" si="3"/>
        <v>0</v>
      </c>
      <c r="Q63" s="36">
        <f t="shared" si="4"/>
        <v>0</v>
      </c>
      <c r="R63" s="36">
        <f t="shared" si="5"/>
        <v>1</v>
      </c>
      <c r="S63" s="37"/>
      <c r="T63" s="5"/>
      <c r="U63" s="54"/>
      <c r="V63" s="55"/>
      <c r="W63" s="55"/>
      <c r="X63" s="56"/>
      <c r="Y63" s="55"/>
      <c r="Z63" s="55"/>
      <c r="AA63" s="57"/>
      <c r="AB63" s="5"/>
      <c r="AC63" s="42">
        <f t="shared" si="6"/>
        <v>1</v>
      </c>
      <c r="AD63" s="3">
        <f t="shared" si="7"/>
        <v>1</v>
      </c>
      <c r="AE63" s="3">
        <f t="shared" si="8"/>
        <v>1</v>
      </c>
      <c r="AF63" s="43">
        <f t="shared" si="9"/>
        <v>1174.02</v>
      </c>
      <c r="AG63" s="44">
        <f t="shared" si="10"/>
        <v>20463.39</v>
      </c>
      <c r="AH63" s="45">
        <f t="shared" si="11"/>
        <v>4.166666667</v>
      </c>
      <c r="AI63" s="46">
        <f t="shared" si="12"/>
        <v>0.004428340085</v>
      </c>
      <c r="AJ63" s="47">
        <f t="shared" si="13"/>
        <v>0</v>
      </c>
      <c r="AK63" s="5"/>
      <c r="AL63" s="42">
        <f t="shared" si="14"/>
        <v>0</v>
      </c>
      <c r="AM63" s="3">
        <f t="shared" si="15"/>
        <v>1</v>
      </c>
      <c r="AN63" s="3">
        <f t="shared" si="16"/>
        <v>0</v>
      </c>
      <c r="AO63" s="3">
        <f t="shared" si="17"/>
        <v>0</v>
      </c>
      <c r="AP63" s="44">
        <f t="shared" si="18"/>
        <v>0</v>
      </c>
      <c r="AQ63" s="48">
        <f t="shared" si="19"/>
        <v>0</v>
      </c>
      <c r="AR63" s="46">
        <f t="shared" si="20"/>
        <v>0</v>
      </c>
      <c r="AS63" s="47">
        <f t="shared" si="21"/>
        <v>0</v>
      </c>
      <c r="AT63" s="5"/>
      <c r="AU63" s="49">
        <f t="shared" si="27"/>
        <v>20463.39</v>
      </c>
      <c r="AV63" s="50">
        <f t="shared" si="23"/>
        <v>1</v>
      </c>
      <c r="AW63" s="51">
        <f t="shared" si="24"/>
        <v>0.001985423299</v>
      </c>
      <c r="AX63" s="52">
        <f t="shared" si="25"/>
        <v>0</v>
      </c>
      <c r="AY63" s="5"/>
      <c r="AZ63" s="53">
        <f t="shared" si="26"/>
        <v>1</v>
      </c>
      <c r="BA63" s="5"/>
      <c r="BB63" s="5"/>
      <c r="BC63" s="5"/>
    </row>
    <row r="64" ht="12.75" customHeight="1">
      <c r="A64" s="25"/>
      <c r="B64" s="27" t="s">
        <v>149</v>
      </c>
      <c r="C64" s="89"/>
      <c r="D64" s="90">
        <v>24173.49</v>
      </c>
      <c r="E64" s="94" t="s">
        <v>39</v>
      </c>
      <c r="F64" s="91">
        <v>39845.0</v>
      </c>
      <c r="G64" s="32" t="s">
        <v>40</v>
      </c>
      <c r="H64" s="88">
        <v>39995.0</v>
      </c>
      <c r="I64" s="32">
        <f t="shared" si="1"/>
        <v>5</v>
      </c>
      <c r="J64" s="64" t="s">
        <v>150</v>
      </c>
      <c r="K64" s="70">
        <v>23000.0</v>
      </c>
      <c r="L64" s="65">
        <v>1949.82</v>
      </c>
      <c r="M64" s="65">
        <f>207.66+8.86</f>
        <v>216.52</v>
      </c>
      <c r="N64" s="65">
        <v>0.0</v>
      </c>
      <c r="O64" s="65">
        <f t="shared" ref="O64:O69" si="33">IF(K64="N/A",0,IF(K64-D64&gt;0,0,D64-K64))</f>
        <v>1173.49</v>
      </c>
      <c r="P64" s="35">
        <f t="shared" si="3"/>
        <v>3339.83</v>
      </c>
      <c r="Q64" s="36">
        <f t="shared" si="4"/>
        <v>0.1381608531</v>
      </c>
      <c r="R64" s="36">
        <f t="shared" si="5"/>
        <v>0.8618391469</v>
      </c>
      <c r="S64" s="37"/>
      <c r="T64" s="5"/>
      <c r="U64" s="54"/>
      <c r="V64" s="55"/>
      <c r="W64" s="55"/>
      <c r="X64" s="56"/>
      <c r="Y64" s="55"/>
      <c r="Z64" s="55"/>
      <c r="AA64" s="57"/>
      <c r="AB64" s="5"/>
      <c r="AC64" s="42">
        <f t="shared" si="6"/>
        <v>0</v>
      </c>
      <c r="AD64" s="3">
        <f t="shared" si="7"/>
        <v>1</v>
      </c>
      <c r="AE64" s="3">
        <f t="shared" si="8"/>
        <v>0</v>
      </c>
      <c r="AF64" s="43">
        <f t="shared" si="9"/>
        <v>0</v>
      </c>
      <c r="AG64" s="44">
        <f t="shared" si="10"/>
        <v>0</v>
      </c>
      <c r="AH64" s="45">
        <f t="shared" si="11"/>
        <v>0</v>
      </c>
      <c r="AI64" s="46">
        <f t="shared" si="12"/>
        <v>0</v>
      </c>
      <c r="AJ64" s="47">
        <f t="shared" si="13"/>
        <v>0</v>
      </c>
      <c r="AK64" s="5"/>
      <c r="AL64" s="42">
        <f t="shared" si="14"/>
        <v>1</v>
      </c>
      <c r="AM64" s="3">
        <f t="shared" si="15"/>
        <v>1</v>
      </c>
      <c r="AN64" s="3">
        <f t="shared" si="16"/>
        <v>1</v>
      </c>
      <c r="AO64" s="3">
        <f t="shared" si="17"/>
        <v>216.52</v>
      </c>
      <c r="AP64" s="44">
        <f t="shared" si="18"/>
        <v>24173.49</v>
      </c>
      <c r="AQ64" s="48">
        <f t="shared" si="19"/>
        <v>5</v>
      </c>
      <c r="AR64" s="46">
        <f t="shared" si="20"/>
        <v>0.004240554398</v>
      </c>
      <c r="AS64" s="47">
        <f t="shared" si="21"/>
        <v>0.0005858786131</v>
      </c>
      <c r="AT64" s="5"/>
      <c r="AU64" s="49">
        <f t="shared" si="27"/>
        <v>24173.49</v>
      </c>
      <c r="AV64" s="50">
        <f t="shared" si="23"/>
        <v>1</v>
      </c>
      <c r="AW64" s="51">
        <f t="shared" si="24"/>
        <v>0.002345389022</v>
      </c>
      <c r="AX64" s="52">
        <f t="shared" si="25"/>
        <v>0.000324040948</v>
      </c>
      <c r="AY64" s="5"/>
      <c r="AZ64" s="53">
        <f t="shared" si="26"/>
        <v>1</v>
      </c>
      <c r="BA64" s="5"/>
      <c r="BB64" s="5"/>
      <c r="BC64" s="5"/>
    </row>
    <row r="65" ht="12.75" customHeight="1">
      <c r="A65" s="25"/>
      <c r="B65" s="27" t="s">
        <v>151</v>
      </c>
      <c r="C65" s="89"/>
      <c r="D65" s="90">
        <v>42703.22</v>
      </c>
      <c r="E65" s="94" t="s">
        <v>49</v>
      </c>
      <c r="F65" s="91">
        <v>39845.0</v>
      </c>
      <c r="G65" s="31" t="s">
        <v>40</v>
      </c>
      <c r="H65" s="88">
        <v>40026.0</v>
      </c>
      <c r="I65" s="32">
        <f t="shared" si="1"/>
        <v>6.033333333</v>
      </c>
      <c r="J65" s="64" t="s">
        <v>152</v>
      </c>
      <c r="K65" s="70">
        <v>48100.0</v>
      </c>
      <c r="L65" s="65">
        <f>0.3+4.7+1741.46</f>
        <v>1746.46</v>
      </c>
      <c r="M65" s="65">
        <f>2990+71.92</f>
        <v>3061.92</v>
      </c>
      <c r="N65" s="65">
        <f>356.86</f>
        <v>356.86</v>
      </c>
      <c r="O65" s="65">
        <f t="shared" si="33"/>
        <v>0</v>
      </c>
      <c r="P65" s="35">
        <f t="shared" si="3"/>
        <v>0</v>
      </c>
      <c r="Q65" s="36">
        <f t="shared" si="4"/>
        <v>0</v>
      </c>
      <c r="R65" s="36">
        <f t="shared" si="5"/>
        <v>1</v>
      </c>
      <c r="S65" s="37"/>
      <c r="T65" s="5"/>
      <c r="U65" s="54"/>
      <c r="V65" s="55"/>
      <c r="W65" s="55"/>
      <c r="X65" s="56"/>
      <c r="Y65" s="55"/>
      <c r="Z65" s="55"/>
      <c r="AA65" s="57"/>
      <c r="AB65" s="5"/>
      <c r="AC65" s="42">
        <f t="shared" si="6"/>
        <v>1</v>
      </c>
      <c r="AD65" s="3">
        <f t="shared" si="7"/>
        <v>1</v>
      </c>
      <c r="AE65" s="3">
        <f t="shared" si="8"/>
        <v>1</v>
      </c>
      <c r="AF65" s="43">
        <f t="shared" si="9"/>
        <v>3418.78</v>
      </c>
      <c r="AG65" s="44">
        <f t="shared" si="10"/>
        <v>42703.22</v>
      </c>
      <c r="AH65" s="45">
        <f t="shared" si="11"/>
        <v>6.033333333</v>
      </c>
      <c r="AI65" s="46">
        <f t="shared" si="12"/>
        <v>0.009241107211</v>
      </c>
      <c r="AJ65" s="47">
        <f t="shared" si="13"/>
        <v>0</v>
      </c>
      <c r="AK65" s="5"/>
      <c r="AL65" s="42">
        <f t="shared" si="14"/>
        <v>0</v>
      </c>
      <c r="AM65" s="3">
        <f t="shared" si="15"/>
        <v>1</v>
      </c>
      <c r="AN65" s="3">
        <f t="shared" si="16"/>
        <v>0</v>
      </c>
      <c r="AO65" s="3">
        <f t="shared" si="17"/>
        <v>0</v>
      </c>
      <c r="AP65" s="44">
        <f t="shared" si="18"/>
        <v>0</v>
      </c>
      <c r="AQ65" s="48">
        <f t="shared" si="19"/>
        <v>0</v>
      </c>
      <c r="AR65" s="46">
        <f t="shared" si="20"/>
        <v>0</v>
      </c>
      <c r="AS65" s="47">
        <f t="shared" si="21"/>
        <v>0</v>
      </c>
      <c r="AT65" s="5"/>
      <c r="AU65" s="49">
        <f t="shared" si="27"/>
        <v>42703.22</v>
      </c>
      <c r="AV65" s="50">
        <f t="shared" si="23"/>
        <v>1</v>
      </c>
      <c r="AW65" s="51">
        <f t="shared" si="24"/>
        <v>0.004143202466</v>
      </c>
      <c r="AX65" s="52">
        <f t="shared" si="25"/>
        <v>0</v>
      </c>
      <c r="AY65" s="5"/>
      <c r="AZ65" s="53">
        <f t="shared" si="26"/>
        <v>1</v>
      </c>
      <c r="BA65" s="5"/>
      <c r="BB65" s="5"/>
      <c r="BC65" s="5"/>
    </row>
    <row r="66" ht="12.75" customHeight="1">
      <c r="A66" s="25"/>
      <c r="B66" s="27" t="s">
        <v>153</v>
      </c>
      <c r="C66" s="89"/>
      <c r="D66" s="90">
        <v>13510.55</v>
      </c>
      <c r="E66" s="94" t="s">
        <v>39</v>
      </c>
      <c r="F66" s="91">
        <v>39845.0</v>
      </c>
      <c r="G66" s="31" t="s">
        <v>40</v>
      </c>
      <c r="H66" s="88">
        <v>40057.0</v>
      </c>
      <c r="I66" s="32">
        <f t="shared" si="1"/>
        <v>7.066666667</v>
      </c>
      <c r="J66" s="64" t="s">
        <v>154</v>
      </c>
      <c r="K66" s="70">
        <v>12000.0</v>
      </c>
      <c r="L66" s="65">
        <v>467.83</v>
      </c>
      <c r="M66" s="65">
        <f>169.5+107.99</f>
        <v>277.49</v>
      </c>
      <c r="N66" s="65">
        <v>0.0</v>
      </c>
      <c r="O66" s="65">
        <f t="shared" si="33"/>
        <v>1510.55</v>
      </c>
      <c r="P66" s="35">
        <f t="shared" si="3"/>
        <v>2255.87</v>
      </c>
      <c r="Q66" s="36">
        <f t="shared" si="4"/>
        <v>0.1669709967</v>
      </c>
      <c r="R66" s="36">
        <f t="shared" si="5"/>
        <v>0.8330290033</v>
      </c>
      <c r="S66" s="37"/>
      <c r="T66" s="5"/>
      <c r="U66" s="54"/>
      <c r="V66" s="55"/>
      <c r="W66" s="55"/>
      <c r="X66" s="56"/>
      <c r="Y66" s="55"/>
      <c r="Z66" s="55"/>
      <c r="AA66" s="57"/>
      <c r="AB66" s="5"/>
      <c r="AC66" s="42">
        <f t="shared" si="6"/>
        <v>0</v>
      </c>
      <c r="AD66" s="3">
        <f t="shared" si="7"/>
        <v>1</v>
      </c>
      <c r="AE66" s="3">
        <f t="shared" si="8"/>
        <v>0</v>
      </c>
      <c r="AF66" s="43">
        <f t="shared" si="9"/>
        <v>0</v>
      </c>
      <c r="AG66" s="44">
        <f t="shared" si="10"/>
        <v>0</v>
      </c>
      <c r="AH66" s="45">
        <f t="shared" si="11"/>
        <v>0</v>
      </c>
      <c r="AI66" s="46">
        <f t="shared" si="12"/>
        <v>0</v>
      </c>
      <c r="AJ66" s="47">
        <f t="shared" si="13"/>
        <v>0</v>
      </c>
      <c r="AK66" s="5"/>
      <c r="AL66" s="42">
        <f t="shared" si="14"/>
        <v>1</v>
      </c>
      <c r="AM66" s="3">
        <f t="shared" si="15"/>
        <v>1</v>
      </c>
      <c r="AN66" s="3">
        <f t="shared" si="16"/>
        <v>1</v>
      </c>
      <c r="AO66" s="3">
        <f t="shared" si="17"/>
        <v>277.49</v>
      </c>
      <c r="AP66" s="44">
        <f t="shared" si="18"/>
        <v>13510.55</v>
      </c>
      <c r="AQ66" s="48">
        <f t="shared" si="19"/>
        <v>7.066666667</v>
      </c>
      <c r="AR66" s="46">
        <f t="shared" si="20"/>
        <v>0.002370043474</v>
      </c>
      <c r="AS66" s="47">
        <f t="shared" si="21"/>
        <v>0.0003957285212</v>
      </c>
      <c r="AT66" s="5"/>
      <c r="AU66" s="49">
        <f t="shared" si="27"/>
        <v>13510.55</v>
      </c>
      <c r="AV66" s="50">
        <f t="shared" si="23"/>
        <v>1</v>
      </c>
      <c r="AW66" s="51">
        <f t="shared" si="24"/>
        <v>0.001310836609</v>
      </c>
      <c r="AX66" s="52">
        <f t="shared" si="25"/>
        <v>0.0002188716951</v>
      </c>
      <c r="AY66" s="5"/>
      <c r="AZ66" s="53">
        <f t="shared" si="26"/>
        <v>1</v>
      </c>
      <c r="BA66" s="5"/>
      <c r="BB66" s="5"/>
      <c r="BC66" s="5"/>
    </row>
    <row r="67" ht="12.75" customHeight="1">
      <c r="A67" s="25"/>
      <c r="B67" s="27" t="s">
        <v>155</v>
      </c>
      <c r="C67" s="89"/>
      <c r="D67" s="90">
        <v>13186.73</v>
      </c>
      <c r="E67" s="94" t="s">
        <v>39</v>
      </c>
      <c r="F67" s="91">
        <v>39845.0</v>
      </c>
      <c r="G67" s="32" t="s">
        <v>40</v>
      </c>
      <c r="H67" s="88">
        <v>40148.0</v>
      </c>
      <c r="I67" s="32">
        <f t="shared" si="1"/>
        <v>10.1</v>
      </c>
      <c r="J67" s="64" t="s">
        <v>156</v>
      </c>
      <c r="K67" s="70">
        <v>10000.0</v>
      </c>
      <c r="L67" s="65">
        <v>587.89</v>
      </c>
      <c r="M67" s="65">
        <f>150+25.58+139.86</f>
        <v>315.44</v>
      </c>
      <c r="N67" s="65">
        <f>17.18+450</f>
        <v>467.18</v>
      </c>
      <c r="O67" s="65">
        <f t="shared" si="33"/>
        <v>3186.73</v>
      </c>
      <c r="P67" s="35">
        <f t="shared" si="3"/>
        <v>4557.24</v>
      </c>
      <c r="Q67" s="36">
        <f t="shared" si="4"/>
        <v>0.3455928801</v>
      </c>
      <c r="R67" s="36">
        <f t="shared" si="5"/>
        <v>0.6544071199</v>
      </c>
      <c r="S67" s="37"/>
      <c r="T67" s="5"/>
      <c r="U67" s="54"/>
      <c r="V67" s="55"/>
      <c r="W67" s="55"/>
      <c r="X67" s="56"/>
      <c r="Y67" s="55"/>
      <c r="Z67" s="55"/>
      <c r="AA67" s="57"/>
      <c r="AB67" s="5"/>
      <c r="AC67" s="42">
        <f t="shared" si="6"/>
        <v>0</v>
      </c>
      <c r="AD67" s="3">
        <f t="shared" si="7"/>
        <v>1</v>
      </c>
      <c r="AE67" s="3">
        <f t="shared" si="8"/>
        <v>0</v>
      </c>
      <c r="AF67" s="43">
        <f t="shared" si="9"/>
        <v>0</v>
      </c>
      <c r="AG67" s="44">
        <f t="shared" si="10"/>
        <v>0</v>
      </c>
      <c r="AH67" s="45">
        <f t="shared" si="11"/>
        <v>0</v>
      </c>
      <c r="AI67" s="46">
        <f t="shared" si="12"/>
        <v>0</v>
      </c>
      <c r="AJ67" s="47">
        <f t="shared" si="13"/>
        <v>0</v>
      </c>
      <c r="AK67" s="5"/>
      <c r="AL67" s="42">
        <f t="shared" si="14"/>
        <v>1</v>
      </c>
      <c r="AM67" s="3">
        <f t="shared" si="15"/>
        <v>1</v>
      </c>
      <c r="AN67" s="3">
        <f t="shared" si="16"/>
        <v>1</v>
      </c>
      <c r="AO67" s="3">
        <f t="shared" si="17"/>
        <v>782.62</v>
      </c>
      <c r="AP67" s="44">
        <f t="shared" si="18"/>
        <v>13186.73</v>
      </c>
      <c r="AQ67" s="48">
        <f t="shared" si="19"/>
        <v>10.1</v>
      </c>
      <c r="AR67" s="46">
        <f t="shared" si="20"/>
        <v>0.002313238424</v>
      </c>
      <c r="AS67" s="47">
        <f t="shared" si="21"/>
        <v>0.0007994387292</v>
      </c>
      <c r="AT67" s="5"/>
      <c r="AU67" s="49">
        <f t="shared" si="27"/>
        <v>13186.73</v>
      </c>
      <c r="AV67" s="50">
        <f t="shared" si="23"/>
        <v>1</v>
      </c>
      <c r="AW67" s="51">
        <f t="shared" si="24"/>
        <v>0.00127941856</v>
      </c>
      <c r="AX67" s="52">
        <f t="shared" si="25"/>
        <v>0.0004421579452</v>
      </c>
      <c r="AY67" s="5"/>
      <c r="AZ67" s="53">
        <f t="shared" si="26"/>
        <v>1</v>
      </c>
      <c r="BA67" s="5"/>
      <c r="BB67" s="5"/>
      <c r="BC67" s="5"/>
    </row>
    <row r="68" ht="12.75" customHeight="1">
      <c r="A68" s="25"/>
      <c r="B68" s="92" t="s">
        <v>157</v>
      </c>
      <c r="C68" s="93"/>
      <c r="D68" s="90">
        <v>12419.47</v>
      </c>
      <c r="E68" s="94" t="s">
        <v>49</v>
      </c>
      <c r="F68" s="91">
        <v>39845.0</v>
      </c>
      <c r="G68" s="31" t="s">
        <v>40</v>
      </c>
      <c r="H68" s="88">
        <v>40355.0</v>
      </c>
      <c r="I68" s="32">
        <f t="shared" si="1"/>
        <v>17</v>
      </c>
      <c r="J68" s="64" t="s">
        <v>158</v>
      </c>
      <c r="K68" s="70">
        <v>11875.0</v>
      </c>
      <c r="L68" s="65">
        <v>0.0</v>
      </c>
      <c r="M68" s="65">
        <v>0.0</v>
      </c>
      <c r="N68" s="65">
        <f>4.91+25.73</f>
        <v>30.64</v>
      </c>
      <c r="O68" s="65">
        <f t="shared" si="33"/>
        <v>544.47</v>
      </c>
      <c r="P68" s="35">
        <f t="shared" si="3"/>
        <v>575.11</v>
      </c>
      <c r="Q68" s="36">
        <f t="shared" si="4"/>
        <v>0.04630712905</v>
      </c>
      <c r="R68" s="36">
        <f t="shared" si="5"/>
        <v>0.953692871</v>
      </c>
      <c r="S68" s="37"/>
      <c r="T68" s="5"/>
      <c r="U68" s="54"/>
      <c r="V68" s="55"/>
      <c r="W68" s="55"/>
      <c r="X68" s="56"/>
      <c r="Y68" s="55"/>
      <c r="Z68" s="55"/>
      <c r="AA68" s="57"/>
      <c r="AB68" s="5"/>
      <c r="AC68" s="42">
        <f t="shared" si="6"/>
        <v>1</v>
      </c>
      <c r="AD68" s="3">
        <f t="shared" si="7"/>
        <v>1</v>
      </c>
      <c r="AE68" s="3">
        <f t="shared" si="8"/>
        <v>1</v>
      </c>
      <c r="AF68" s="43">
        <f t="shared" si="9"/>
        <v>30.64</v>
      </c>
      <c r="AG68" s="44">
        <f t="shared" si="10"/>
        <v>12419.47</v>
      </c>
      <c r="AH68" s="45">
        <f t="shared" si="11"/>
        <v>17</v>
      </c>
      <c r="AI68" s="46">
        <f t="shared" si="12"/>
        <v>0.002687611233</v>
      </c>
      <c r="AJ68" s="47">
        <f t="shared" si="13"/>
        <v>0.0001244555602</v>
      </c>
      <c r="AK68" s="5"/>
      <c r="AL68" s="42">
        <f t="shared" si="14"/>
        <v>0</v>
      </c>
      <c r="AM68" s="3">
        <f t="shared" si="15"/>
        <v>1</v>
      </c>
      <c r="AN68" s="3">
        <f t="shared" si="16"/>
        <v>0</v>
      </c>
      <c r="AO68" s="3">
        <f t="shared" si="17"/>
        <v>0</v>
      </c>
      <c r="AP68" s="44">
        <f t="shared" si="18"/>
        <v>0</v>
      </c>
      <c r="AQ68" s="48">
        <f t="shared" si="19"/>
        <v>0</v>
      </c>
      <c r="AR68" s="46">
        <f t="shared" si="20"/>
        <v>0</v>
      </c>
      <c r="AS68" s="47">
        <f t="shared" si="21"/>
        <v>0</v>
      </c>
      <c r="AT68" s="5"/>
      <c r="AU68" s="49">
        <f t="shared" si="27"/>
        <v>12419.47</v>
      </c>
      <c r="AV68" s="50">
        <f t="shared" si="23"/>
        <v>1</v>
      </c>
      <c r="AW68" s="51">
        <f t="shared" si="24"/>
        <v>0.001204976551</v>
      </c>
      <c r="AX68" s="52">
        <f t="shared" si="25"/>
        <v>0.00005579900463</v>
      </c>
      <c r="AY68" s="5"/>
      <c r="AZ68" s="53">
        <f t="shared" si="26"/>
        <v>1</v>
      </c>
      <c r="BA68" s="5"/>
      <c r="BB68" s="5"/>
      <c r="BC68" s="5"/>
    </row>
    <row r="69" ht="12.75" customHeight="1">
      <c r="A69" s="25"/>
      <c r="B69" s="92" t="s">
        <v>159</v>
      </c>
      <c r="C69" s="93"/>
      <c r="D69" s="90">
        <v>22228.78</v>
      </c>
      <c r="E69" s="94" t="s">
        <v>49</v>
      </c>
      <c r="F69" s="91">
        <v>39845.0</v>
      </c>
      <c r="G69" s="31" t="s">
        <v>40</v>
      </c>
      <c r="H69" s="88">
        <v>40386.0</v>
      </c>
      <c r="I69" s="32">
        <f t="shared" si="1"/>
        <v>18.03333333</v>
      </c>
      <c r="J69" s="64" t="s">
        <v>129</v>
      </c>
      <c r="K69" s="70">
        <v>21000.0</v>
      </c>
      <c r="L69" s="65">
        <v>0.0</v>
      </c>
      <c r="M69" s="65">
        <v>0.0</v>
      </c>
      <c r="N69" s="65">
        <v>0.0</v>
      </c>
      <c r="O69" s="65">
        <f t="shared" si="33"/>
        <v>1228.78</v>
      </c>
      <c r="P69" s="35">
        <f t="shared" si="3"/>
        <v>1228.78</v>
      </c>
      <c r="Q69" s="36">
        <f t="shared" si="4"/>
        <v>0.05527878723</v>
      </c>
      <c r="R69" s="36">
        <f t="shared" si="5"/>
        <v>0.9447212128</v>
      </c>
      <c r="S69" s="37"/>
      <c r="T69" s="5"/>
      <c r="U69" s="54"/>
      <c r="V69" s="55"/>
      <c r="W69" s="55"/>
      <c r="X69" s="56"/>
      <c r="Y69" s="55"/>
      <c r="Z69" s="55"/>
      <c r="AA69" s="57"/>
      <c r="AB69" s="5"/>
      <c r="AC69" s="42">
        <f t="shared" si="6"/>
        <v>1</v>
      </c>
      <c r="AD69" s="3">
        <f t="shared" si="7"/>
        <v>1</v>
      </c>
      <c r="AE69" s="3">
        <f t="shared" si="8"/>
        <v>1</v>
      </c>
      <c r="AF69" s="43">
        <f t="shared" si="9"/>
        <v>0</v>
      </c>
      <c r="AG69" s="44">
        <f t="shared" si="10"/>
        <v>22228.78</v>
      </c>
      <c r="AH69" s="45">
        <f t="shared" si="11"/>
        <v>18.03333333</v>
      </c>
      <c r="AI69" s="46">
        <f t="shared" si="12"/>
        <v>0.004810375872</v>
      </c>
      <c r="AJ69" s="47">
        <f t="shared" si="13"/>
        <v>0.0002659117443</v>
      </c>
      <c r="AK69" s="5"/>
      <c r="AL69" s="42">
        <f t="shared" si="14"/>
        <v>0</v>
      </c>
      <c r="AM69" s="3">
        <f t="shared" si="15"/>
        <v>1</v>
      </c>
      <c r="AN69" s="3">
        <f t="shared" si="16"/>
        <v>0</v>
      </c>
      <c r="AO69" s="3">
        <f t="shared" si="17"/>
        <v>0</v>
      </c>
      <c r="AP69" s="44">
        <f t="shared" si="18"/>
        <v>0</v>
      </c>
      <c r="AQ69" s="48">
        <f t="shared" si="19"/>
        <v>0</v>
      </c>
      <c r="AR69" s="46">
        <f t="shared" si="20"/>
        <v>0</v>
      </c>
      <c r="AS69" s="47">
        <f t="shared" si="21"/>
        <v>0</v>
      </c>
      <c r="AT69" s="5"/>
      <c r="AU69" s="49">
        <f t="shared" si="27"/>
        <v>22228.78</v>
      </c>
      <c r="AV69" s="50">
        <f t="shared" si="23"/>
        <v>1</v>
      </c>
      <c r="AW69" s="51">
        <f t="shared" si="24"/>
        <v>0.002156707061</v>
      </c>
      <c r="AX69" s="52">
        <f t="shared" si="25"/>
        <v>0.0001192201508</v>
      </c>
      <c r="AY69" s="5"/>
      <c r="AZ69" s="53">
        <f t="shared" si="26"/>
        <v>1</v>
      </c>
      <c r="BA69" s="5"/>
      <c r="BB69" s="5"/>
      <c r="BC69" s="5"/>
    </row>
    <row r="70" ht="12.75" customHeight="1">
      <c r="A70" s="25"/>
      <c r="B70" s="27" t="s">
        <v>160</v>
      </c>
      <c r="C70" s="89"/>
      <c r="D70" s="90">
        <v>25695.63</v>
      </c>
      <c r="E70" s="94" t="s">
        <v>49</v>
      </c>
      <c r="F70" s="91">
        <v>39845.0</v>
      </c>
      <c r="G70" s="32" t="s">
        <v>40</v>
      </c>
      <c r="H70" s="88">
        <v>40939.0</v>
      </c>
      <c r="I70" s="32">
        <f t="shared" si="1"/>
        <v>36.46666667</v>
      </c>
      <c r="J70" s="64" t="s">
        <v>161</v>
      </c>
      <c r="K70" s="70">
        <v>26000.0</v>
      </c>
      <c r="L70" s="65">
        <v>0.0</v>
      </c>
      <c r="M70" s="65">
        <v>0.0</v>
      </c>
      <c r="N70" s="65">
        <f>D70-K70+O70</f>
        <v>588.77</v>
      </c>
      <c r="O70" s="65">
        <v>893.14</v>
      </c>
      <c r="P70" s="35">
        <f t="shared" si="3"/>
        <v>284.4</v>
      </c>
      <c r="Q70" s="36">
        <f t="shared" si="4"/>
        <v>0.01106802986</v>
      </c>
      <c r="R70" s="36">
        <f t="shared" si="5"/>
        <v>0.9889319701</v>
      </c>
      <c r="S70" s="37"/>
      <c r="T70" s="5"/>
      <c r="U70" s="54"/>
      <c r="V70" s="55"/>
      <c r="W70" s="55"/>
      <c r="X70" s="56"/>
      <c r="Y70" s="55"/>
      <c r="Z70" s="55"/>
      <c r="AA70" s="57"/>
      <c r="AB70" s="5"/>
      <c r="AC70" s="42">
        <f t="shared" si="6"/>
        <v>1</v>
      </c>
      <c r="AD70" s="3">
        <f t="shared" si="7"/>
        <v>1</v>
      </c>
      <c r="AE70" s="3">
        <f t="shared" si="8"/>
        <v>1</v>
      </c>
      <c r="AF70" s="43">
        <f t="shared" si="9"/>
        <v>588.77</v>
      </c>
      <c r="AG70" s="44">
        <f t="shared" si="10"/>
        <v>25695.63</v>
      </c>
      <c r="AH70" s="45">
        <f t="shared" si="11"/>
        <v>36.46666667</v>
      </c>
      <c r="AI70" s="46">
        <f t="shared" si="12"/>
        <v>0.005560612799</v>
      </c>
      <c r="AJ70" s="47">
        <f t="shared" si="13"/>
        <v>0.00006154502847</v>
      </c>
      <c r="AK70" s="5"/>
      <c r="AL70" s="42">
        <f t="shared" si="14"/>
        <v>0</v>
      </c>
      <c r="AM70" s="3">
        <f t="shared" si="15"/>
        <v>1</v>
      </c>
      <c r="AN70" s="3">
        <f t="shared" si="16"/>
        <v>0</v>
      </c>
      <c r="AO70" s="3">
        <f t="shared" si="17"/>
        <v>0</v>
      </c>
      <c r="AP70" s="44">
        <f t="shared" si="18"/>
        <v>0</v>
      </c>
      <c r="AQ70" s="48">
        <f t="shared" si="19"/>
        <v>0</v>
      </c>
      <c r="AR70" s="46">
        <f t="shared" si="20"/>
        <v>0</v>
      </c>
      <c r="AS70" s="47">
        <f t="shared" si="21"/>
        <v>0</v>
      </c>
      <c r="AT70" s="5"/>
      <c r="AU70" s="49">
        <f t="shared" si="27"/>
        <v>25695.63</v>
      </c>
      <c r="AV70" s="50">
        <f t="shared" si="23"/>
        <v>1</v>
      </c>
      <c r="AW70" s="51">
        <f t="shared" si="24"/>
        <v>0.002493071894</v>
      </c>
      <c r="AX70" s="52">
        <f t="shared" si="25"/>
        <v>0.00002759339416</v>
      </c>
      <c r="AY70" s="5"/>
      <c r="AZ70" s="53">
        <f t="shared" si="26"/>
        <v>1</v>
      </c>
      <c r="BA70" s="5"/>
      <c r="BB70" s="5"/>
      <c r="BC70" s="5"/>
    </row>
    <row r="71" ht="12.75" customHeight="1">
      <c r="A71" s="25"/>
      <c r="B71" s="92" t="s">
        <v>162</v>
      </c>
      <c r="C71" s="93"/>
      <c r="D71" s="90">
        <v>15462.86</v>
      </c>
      <c r="E71" s="94" t="s">
        <v>49</v>
      </c>
      <c r="F71" s="91">
        <v>39845.0</v>
      </c>
      <c r="G71" s="31" t="s">
        <v>40</v>
      </c>
      <c r="H71" s="88">
        <v>41060.0</v>
      </c>
      <c r="I71" s="32">
        <f t="shared" si="1"/>
        <v>40.5</v>
      </c>
      <c r="J71" s="33" t="s">
        <v>49</v>
      </c>
      <c r="K71" s="70">
        <v>9904.0</v>
      </c>
      <c r="L71" s="65">
        <v>0.0</v>
      </c>
      <c r="M71" s="65">
        <v>0.0</v>
      </c>
      <c r="N71" s="65">
        <v>425.0</v>
      </c>
      <c r="O71" s="65">
        <f t="shared" ref="O71:O72" si="34">IF(K71="N/A",0,IF(K71-D71&gt;0,0,D71-K71))</f>
        <v>5558.86</v>
      </c>
      <c r="P71" s="35">
        <f t="shared" si="3"/>
        <v>5983.86</v>
      </c>
      <c r="Q71" s="36">
        <f t="shared" si="4"/>
        <v>0.3869827445</v>
      </c>
      <c r="R71" s="36">
        <f t="shared" si="5"/>
        <v>0.6130172555</v>
      </c>
      <c r="S71" s="37"/>
      <c r="T71" s="5"/>
      <c r="U71" s="54"/>
      <c r="V71" s="55"/>
      <c r="W71" s="55"/>
      <c r="X71" s="56"/>
      <c r="Y71" s="55"/>
      <c r="Z71" s="55"/>
      <c r="AA71" s="57"/>
      <c r="AB71" s="5"/>
      <c r="AC71" s="42">
        <f t="shared" si="6"/>
        <v>1</v>
      </c>
      <c r="AD71" s="3">
        <f t="shared" si="7"/>
        <v>1</v>
      </c>
      <c r="AE71" s="3">
        <f t="shared" si="8"/>
        <v>1</v>
      </c>
      <c r="AF71" s="43">
        <f t="shared" si="9"/>
        <v>425</v>
      </c>
      <c r="AG71" s="44">
        <f t="shared" si="10"/>
        <v>15462.86</v>
      </c>
      <c r="AH71" s="45">
        <f t="shared" si="11"/>
        <v>40.5</v>
      </c>
      <c r="AI71" s="46">
        <f t="shared" si="12"/>
        <v>0.003346210123</v>
      </c>
      <c r="AJ71" s="47">
        <f t="shared" si="13"/>
        <v>0.001294925577</v>
      </c>
      <c r="AK71" s="5"/>
      <c r="AL71" s="42">
        <f t="shared" si="14"/>
        <v>0</v>
      </c>
      <c r="AM71" s="3">
        <f t="shared" si="15"/>
        <v>1</v>
      </c>
      <c r="AN71" s="3">
        <f t="shared" si="16"/>
        <v>0</v>
      </c>
      <c r="AO71" s="3">
        <f t="shared" si="17"/>
        <v>0</v>
      </c>
      <c r="AP71" s="44">
        <f t="shared" si="18"/>
        <v>0</v>
      </c>
      <c r="AQ71" s="48">
        <f t="shared" si="19"/>
        <v>0</v>
      </c>
      <c r="AR71" s="46">
        <f t="shared" si="20"/>
        <v>0</v>
      </c>
      <c r="AS71" s="47">
        <f t="shared" si="21"/>
        <v>0</v>
      </c>
      <c r="AT71" s="5"/>
      <c r="AU71" s="49">
        <f t="shared" si="27"/>
        <v>15462.86</v>
      </c>
      <c r="AV71" s="50">
        <f t="shared" si="23"/>
        <v>1</v>
      </c>
      <c r="AW71" s="51">
        <f t="shared" si="24"/>
        <v>0.001500255945</v>
      </c>
      <c r="AX71" s="52">
        <f t="shared" si="25"/>
        <v>0.0005805731631</v>
      </c>
      <c r="AY71" s="5"/>
      <c r="AZ71" s="53">
        <f t="shared" si="26"/>
        <v>1</v>
      </c>
      <c r="BA71" s="5"/>
      <c r="BB71" s="5"/>
      <c r="BC71" s="5"/>
    </row>
    <row r="72" ht="12.75" customHeight="1">
      <c r="A72" s="25"/>
      <c r="B72" s="27" t="s">
        <v>163</v>
      </c>
      <c r="C72" s="89"/>
      <c r="D72" s="90">
        <v>8069.38</v>
      </c>
      <c r="E72" s="94" t="s">
        <v>39</v>
      </c>
      <c r="F72" s="91">
        <v>39859.0</v>
      </c>
      <c r="G72" s="32" t="s">
        <v>40</v>
      </c>
      <c r="H72" s="88">
        <v>39872.0</v>
      </c>
      <c r="I72" s="32">
        <f t="shared" si="1"/>
        <v>0.4333333333</v>
      </c>
      <c r="J72" s="64" t="s">
        <v>164</v>
      </c>
      <c r="K72" s="70">
        <v>10450.0</v>
      </c>
      <c r="L72" s="65">
        <f>20.1+4.45+30.05+17.25+65+9.05+468.99</f>
        <v>614.89</v>
      </c>
      <c r="M72" s="65">
        <v>1481.95</v>
      </c>
      <c r="N72" s="65">
        <v>189.92</v>
      </c>
      <c r="O72" s="65">
        <f t="shared" si="34"/>
        <v>0</v>
      </c>
      <c r="P72" s="35">
        <f t="shared" si="3"/>
        <v>0</v>
      </c>
      <c r="Q72" s="36">
        <f t="shared" si="4"/>
        <v>0</v>
      </c>
      <c r="R72" s="36">
        <f t="shared" si="5"/>
        <v>1</v>
      </c>
      <c r="S72" s="37"/>
      <c r="T72" s="5"/>
      <c r="U72" s="54"/>
      <c r="V72" s="55"/>
      <c r="W72" s="55"/>
      <c r="X72" s="56"/>
      <c r="Y72" s="55"/>
      <c r="Z72" s="55"/>
      <c r="AA72" s="57"/>
      <c r="AB72" s="5"/>
      <c r="AC72" s="42">
        <f t="shared" si="6"/>
        <v>0</v>
      </c>
      <c r="AD72" s="3">
        <f t="shared" si="7"/>
        <v>1</v>
      </c>
      <c r="AE72" s="3">
        <f t="shared" si="8"/>
        <v>0</v>
      </c>
      <c r="AF72" s="43">
        <f t="shared" si="9"/>
        <v>0</v>
      </c>
      <c r="AG72" s="44">
        <f t="shared" si="10"/>
        <v>0</v>
      </c>
      <c r="AH72" s="45">
        <f t="shared" si="11"/>
        <v>0</v>
      </c>
      <c r="AI72" s="46">
        <f t="shared" si="12"/>
        <v>0</v>
      </c>
      <c r="AJ72" s="47">
        <f t="shared" si="13"/>
        <v>0</v>
      </c>
      <c r="AK72" s="5"/>
      <c r="AL72" s="42">
        <f t="shared" si="14"/>
        <v>1</v>
      </c>
      <c r="AM72" s="3">
        <f t="shared" si="15"/>
        <v>1</v>
      </c>
      <c r="AN72" s="3">
        <f t="shared" si="16"/>
        <v>1</v>
      </c>
      <c r="AO72" s="3">
        <f t="shared" si="17"/>
        <v>1671.87</v>
      </c>
      <c r="AP72" s="44">
        <f t="shared" si="18"/>
        <v>8069.38</v>
      </c>
      <c r="AQ72" s="48">
        <f t="shared" si="19"/>
        <v>0.4333333333</v>
      </c>
      <c r="AR72" s="46">
        <f t="shared" si="20"/>
        <v>0.001415544253</v>
      </c>
      <c r="AS72" s="47">
        <f t="shared" si="21"/>
        <v>0</v>
      </c>
      <c r="AT72" s="5"/>
      <c r="AU72" s="49">
        <f t="shared" si="27"/>
        <v>8069.38</v>
      </c>
      <c r="AV72" s="50">
        <f t="shared" si="23"/>
        <v>1</v>
      </c>
      <c r="AW72" s="51">
        <f t="shared" si="24"/>
        <v>0.0007829169584</v>
      </c>
      <c r="AX72" s="52">
        <f t="shared" si="25"/>
        <v>0</v>
      </c>
      <c r="AY72" s="5"/>
      <c r="AZ72" s="53">
        <f t="shared" si="26"/>
        <v>1</v>
      </c>
      <c r="BA72" s="5"/>
      <c r="BB72" s="5"/>
      <c r="BC72" s="5"/>
    </row>
    <row r="73" ht="12.75" customHeight="1">
      <c r="A73" s="25"/>
      <c r="B73" s="27" t="s">
        <v>165</v>
      </c>
      <c r="C73" s="89"/>
      <c r="D73" s="90">
        <v>36366.0</v>
      </c>
      <c r="E73" s="94" t="s">
        <v>39</v>
      </c>
      <c r="F73" s="91">
        <v>39872.0</v>
      </c>
      <c r="G73" s="88" t="s">
        <v>40</v>
      </c>
      <c r="H73" s="88">
        <v>39872.0</v>
      </c>
      <c r="I73" s="32">
        <f t="shared" si="1"/>
        <v>0</v>
      </c>
      <c r="J73" s="64" t="s">
        <v>166</v>
      </c>
      <c r="K73" s="70">
        <v>38000.0</v>
      </c>
      <c r="L73" s="65">
        <v>0.0</v>
      </c>
      <c r="M73" s="65">
        <v>0.0</v>
      </c>
      <c r="N73" s="65">
        <v>1745.65</v>
      </c>
      <c r="O73" s="65">
        <f>IF(K73="N/A",0,IF(K73-D73-L73-M73-N73&gt;0,0,(K73-D73-L73-M73-N73)*-1))</f>
        <v>111.65</v>
      </c>
      <c r="P73" s="35">
        <f t="shared" si="3"/>
        <v>111.65</v>
      </c>
      <c r="Q73" s="36">
        <f t="shared" si="4"/>
        <v>0.003070175439</v>
      </c>
      <c r="R73" s="36">
        <f t="shared" si="5"/>
        <v>0.9969298246</v>
      </c>
      <c r="S73" s="37"/>
      <c r="T73" s="5"/>
      <c r="U73" s="54"/>
      <c r="V73" s="55"/>
      <c r="W73" s="55"/>
      <c r="X73" s="56"/>
      <c r="Y73" s="55"/>
      <c r="Z73" s="55"/>
      <c r="AA73" s="57"/>
      <c r="AB73" s="5"/>
      <c r="AC73" s="42">
        <f t="shared" si="6"/>
        <v>0</v>
      </c>
      <c r="AD73" s="3">
        <f t="shared" si="7"/>
        <v>1</v>
      </c>
      <c r="AE73" s="3">
        <f t="shared" si="8"/>
        <v>0</v>
      </c>
      <c r="AF73" s="43">
        <f t="shared" si="9"/>
        <v>0</v>
      </c>
      <c r="AG73" s="44">
        <f t="shared" si="10"/>
        <v>0</v>
      </c>
      <c r="AH73" s="45">
        <f t="shared" si="11"/>
        <v>0</v>
      </c>
      <c r="AI73" s="46">
        <f t="shared" si="12"/>
        <v>0</v>
      </c>
      <c r="AJ73" s="47">
        <f t="shared" si="13"/>
        <v>0</v>
      </c>
      <c r="AK73" s="5"/>
      <c r="AL73" s="42">
        <f t="shared" si="14"/>
        <v>1</v>
      </c>
      <c r="AM73" s="3">
        <f t="shared" si="15"/>
        <v>1</v>
      </c>
      <c r="AN73" s="3">
        <f t="shared" si="16"/>
        <v>1</v>
      </c>
      <c r="AO73" s="3">
        <f t="shared" si="17"/>
        <v>1745.65</v>
      </c>
      <c r="AP73" s="44">
        <f t="shared" si="18"/>
        <v>36366</v>
      </c>
      <c r="AQ73" s="48">
        <f t="shared" si="19"/>
        <v>0</v>
      </c>
      <c r="AR73" s="46">
        <f t="shared" si="20"/>
        <v>0.006379385072</v>
      </c>
      <c r="AS73" s="47">
        <f t="shared" si="21"/>
        <v>0.00001958583136</v>
      </c>
      <c r="AT73" s="5"/>
      <c r="AU73" s="49">
        <f t="shared" si="27"/>
        <v>36366</v>
      </c>
      <c r="AV73" s="50">
        <f t="shared" si="23"/>
        <v>1</v>
      </c>
      <c r="AW73" s="51">
        <f t="shared" si="24"/>
        <v>0.00352834519</v>
      </c>
      <c r="AX73" s="52">
        <f t="shared" si="25"/>
        <v>0.00001083263874</v>
      </c>
      <c r="AY73" s="5"/>
      <c r="AZ73" s="53">
        <f t="shared" si="26"/>
        <v>1</v>
      </c>
      <c r="BA73" s="5"/>
      <c r="BB73" s="5"/>
      <c r="BC73" s="5"/>
    </row>
    <row r="74" ht="12.75" customHeight="1">
      <c r="A74" s="25"/>
      <c r="B74" s="92" t="s">
        <v>167</v>
      </c>
      <c r="C74" s="93"/>
      <c r="D74" s="90">
        <v>50939.35</v>
      </c>
      <c r="E74" s="94" t="s">
        <v>39</v>
      </c>
      <c r="F74" s="91">
        <v>39873.0</v>
      </c>
      <c r="G74" s="32" t="s">
        <v>40</v>
      </c>
      <c r="H74" s="88">
        <v>39933.0</v>
      </c>
      <c r="I74" s="32">
        <f t="shared" si="1"/>
        <v>2</v>
      </c>
      <c r="J74" s="64" t="s">
        <v>168</v>
      </c>
      <c r="K74" s="70">
        <v>42000.0</v>
      </c>
      <c r="L74" s="65">
        <f>126.45+28+14.3+61.8+65+12.1+2991.62</f>
        <v>3299.27</v>
      </c>
      <c r="M74" s="65">
        <f>304.65+81.2</f>
        <v>385.85</v>
      </c>
      <c r="N74" s="65">
        <v>0.0</v>
      </c>
      <c r="O74" s="65">
        <f t="shared" ref="O74:O88" si="35">IF(K74="N/A",0,IF(K74-D74&gt;0,0,D74-K74))</f>
        <v>8939.35</v>
      </c>
      <c r="P74" s="35">
        <f t="shared" si="3"/>
        <v>12624.47</v>
      </c>
      <c r="Q74" s="36">
        <f t="shared" si="4"/>
        <v>0.2478333548</v>
      </c>
      <c r="R74" s="36">
        <f t="shared" si="5"/>
        <v>0.7521666452</v>
      </c>
      <c r="S74" s="37"/>
      <c r="T74" s="5"/>
      <c r="U74" s="54"/>
      <c r="V74" s="55"/>
      <c r="W74" s="55"/>
      <c r="X74" s="56"/>
      <c r="Y74" s="55"/>
      <c r="Z74" s="55"/>
      <c r="AA74" s="57"/>
      <c r="AB74" s="5"/>
      <c r="AC74" s="42">
        <f t="shared" si="6"/>
        <v>0</v>
      </c>
      <c r="AD74" s="3">
        <f t="shared" si="7"/>
        <v>1</v>
      </c>
      <c r="AE74" s="3">
        <f t="shared" si="8"/>
        <v>0</v>
      </c>
      <c r="AF74" s="43">
        <f t="shared" si="9"/>
        <v>0</v>
      </c>
      <c r="AG74" s="44">
        <f t="shared" si="10"/>
        <v>0</v>
      </c>
      <c r="AH74" s="45">
        <f t="shared" si="11"/>
        <v>0</v>
      </c>
      <c r="AI74" s="46">
        <f t="shared" si="12"/>
        <v>0</v>
      </c>
      <c r="AJ74" s="47">
        <f t="shared" si="13"/>
        <v>0</v>
      </c>
      <c r="AK74" s="5"/>
      <c r="AL74" s="42">
        <f t="shared" si="14"/>
        <v>1</v>
      </c>
      <c r="AM74" s="3">
        <f t="shared" si="15"/>
        <v>1</v>
      </c>
      <c r="AN74" s="3">
        <f t="shared" si="16"/>
        <v>1</v>
      </c>
      <c r="AO74" s="3">
        <f t="shared" si="17"/>
        <v>385.85</v>
      </c>
      <c r="AP74" s="44">
        <f t="shared" si="18"/>
        <v>50939.35</v>
      </c>
      <c r="AQ74" s="48">
        <f t="shared" si="19"/>
        <v>2</v>
      </c>
      <c r="AR74" s="46">
        <f t="shared" si="20"/>
        <v>0.008935866715</v>
      </c>
      <c r="AS74" s="47">
        <f t="shared" si="21"/>
        <v>0.002214605826</v>
      </c>
      <c r="AT74" s="5"/>
      <c r="AU74" s="49">
        <f t="shared" si="27"/>
        <v>50939.35</v>
      </c>
      <c r="AV74" s="50">
        <f t="shared" si="23"/>
        <v>1</v>
      </c>
      <c r="AW74" s="51">
        <f t="shared" si="24"/>
        <v>0.004942298041</v>
      </c>
      <c r="AX74" s="52">
        <f t="shared" si="25"/>
        <v>0.001224866304</v>
      </c>
      <c r="AY74" s="5"/>
      <c r="AZ74" s="53">
        <f t="shared" si="26"/>
        <v>1</v>
      </c>
      <c r="BA74" s="5"/>
      <c r="BB74" s="5"/>
      <c r="BC74" s="5"/>
    </row>
    <row r="75" ht="12.75" customHeight="1">
      <c r="A75" s="25"/>
      <c r="B75" s="92" t="s">
        <v>169</v>
      </c>
      <c r="C75" s="93"/>
      <c r="D75" s="90">
        <v>17202.71</v>
      </c>
      <c r="E75" s="94" t="s">
        <v>39</v>
      </c>
      <c r="F75" s="91">
        <v>39873.0</v>
      </c>
      <c r="G75" s="32" t="s">
        <v>40</v>
      </c>
      <c r="H75" s="88">
        <v>39950.0</v>
      </c>
      <c r="I75" s="32">
        <f t="shared" si="1"/>
        <v>2.566666667</v>
      </c>
      <c r="J75" s="64" t="s">
        <v>170</v>
      </c>
      <c r="K75" s="70">
        <v>19000.0</v>
      </c>
      <c r="L75" s="65">
        <f>22.62+5.01+21.06+13.23+40.84+17.19+956.28</f>
        <v>1076.23</v>
      </c>
      <c r="M75" s="65">
        <f>74.1+23.39</f>
        <v>97.49</v>
      </c>
      <c r="N75" s="65">
        <v>0.0</v>
      </c>
      <c r="O75" s="65">
        <f t="shared" si="35"/>
        <v>0</v>
      </c>
      <c r="P75" s="35">
        <f t="shared" si="3"/>
        <v>0</v>
      </c>
      <c r="Q75" s="36">
        <f t="shared" si="4"/>
        <v>0</v>
      </c>
      <c r="R75" s="36">
        <f t="shared" si="5"/>
        <v>1</v>
      </c>
      <c r="S75" s="37"/>
      <c r="T75" s="5"/>
      <c r="U75" s="54"/>
      <c r="V75" s="55"/>
      <c r="W75" s="55"/>
      <c r="X75" s="56"/>
      <c r="Y75" s="55"/>
      <c r="Z75" s="55"/>
      <c r="AA75" s="57"/>
      <c r="AB75" s="5"/>
      <c r="AC75" s="42">
        <f t="shared" si="6"/>
        <v>0</v>
      </c>
      <c r="AD75" s="3">
        <f t="shared" si="7"/>
        <v>1</v>
      </c>
      <c r="AE75" s="3">
        <f t="shared" si="8"/>
        <v>0</v>
      </c>
      <c r="AF75" s="43">
        <f t="shared" si="9"/>
        <v>0</v>
      </c>
      <c r="AG75" s="44">
        <f t="shared" si="10"/>
        <v>0</v>
      </c>
      <c r="AH75" s="45">
        <f t="shared" si="11"/>
        <v>0</v>
      </c>
      <c r="AI75" s="46">
        <f t="shared" si="12"/>
        <v>0</v>
      </c>
      <c r="AJ75" s="47">
        <f t="shared" si="13"/>
        <v>0</v>
      </c>
      <c r="AK75" s="5"/>
      <c r="AL75" s="42">
        <f t="shared" si="14"/>
        <v>1</v>
      </c>
      <c r="AM75" s="3">
        <f t="shared" si="15"/>
        <v>1</v>
      </c>
      <c r="AN75" s="3">
        <f t="shared" si="16"/>
        <v>1</v>
      </c>
      <c r="AO75" s="3">
        <f t="shared" si="17"/>
        <v>97.49</v>
      </c>
      <c r="AP75" s="44">
        <f t="shared" si="18"/>
        <v>17202.71</v>
      </c>
      <c r="AQ75" s="48">
        <f t="shared" si="19"/>
        <v>2.566666667</v>
      </c>
      <c r="AR75" s="46">
        <f t="shared" si="20"/>
        <v>0.00301772841</v>
      </c>
      <c r="AS75" s="47">
        <f t="shared" si="21"/>
        <v>0</v>
      </c>
      <c r="AT75" s="5"/>
      <c r="AU75" s="49">
        <f t="shared" si="27"/>
        <v>17202.71</v>
      </c>
      <c r="AV75" s="50">
        <f t="shared" si="23"/>
        <v>1</v>
      </c>
      <c r="AW75" s="51">
        <f t="shared" si="24"/>
        <v>0.001669061736</v>
      </c>
      <c r="AX75" s="52">
        <f t="shared" si="25"/>
        <v>0</v>
      </c>
      <c r="AY75" s="5"/>
      <c r="AZ75" s="53">
        <f t="shared" si="26"/>
        <v>1</v>
      </c>
      <c r="BA75" s="5"/>
      <c r="BB75" s="5"/>
      <c r="BC75" s="5"/>
    </row>
    <row r="76" ht="12.75" customHeight="1">
      <c r="A76" s="25"/>
      <c r="B76" s="92" t="s">
        <v>171</v>
      </c>
      <c r="C76" s="93"/>
      <c r="D76" s="90">
        <v>26541.7</v>
      </c>
      <c r="E76" s="29" t="s">
        <v>39</v>
      </c>
      <c r="F76" s="91">
        <v>39873.0</v>
      </c>
      <c r="G76" s="31" t="s">
        <v>40</v>
      </c>
      <c r="H76" s="88">
        <v>39963.0</v>
      </c>
      <c r="I76" s="32">
        <f t="shared" si="1"/>
        <v>3</v>
      </c>
      <c r="J76" s="64" t="s">
        <v>172</v>
      </c>
      <c r="K76" s="70">
        <v>30000.0</v>
      </c>
      <c r="L76" s="65">
        <f>34.8+7.71+46.2+19.95+39+6.06+1146.27</f>
        <v>1299.99</v>
      </c>
      <c r="M76" s="65">
        <f>107.01+10.58+98.12+5.79</f>
        <v>221.5</v>
      </c>
      <c r="N76" s="65">
        <v>0.0</v>
      </c>
      <c r="O76" s="65">
        <f t="shared" si="35"/>
        <v>0</v>
      </c>
      <c r="P76" s="35">
        <f t="shared" si="3"/>
        <v>0</v>
      </c>
      <c r="Q76" s="36">
        <f t="shared" si="4"/>
        <v>0</v>
      </c>
      <c r="R76" s="36">
        <f t="shared" si="5"/>
        <v>1</v>
      </c>
      <c r="S76" s="37"/>
      <c r="T76" s="5"/>
      <c r="U76" s="54"/>
      <c r="V76" s="55"/>
      <c r="W76" s="55"/>
      <c r="X76" s="56"/>
      <c r="Y76" s="55"/>
      <c r="Z76" s="55"/>
      <c r="AA76" s="57"/>
      <c r="AB76" s="5"/>
      <c r="AC76" s="42">
        <f t="shared" si="6"/>
        <v>0</v>
      </c>
      <c r="AD76" s="3">
        <f t="shared" si="7"/>
        <v>1</v>
      </c>
      <c r="AE76" s="3">
        <f t="shared" si="8"/>
        <v>0</v>
      </c>
      <c r="AF76" s="43">
        <f t="shared" si="9"/>
        <v>0</v>
      </c>
      <c r="AG76" s="44">
        <f t="shared" si="10"/>
        <v>0</v>
      </c>
      <c r="AH76" s="45">
        <f t="shared" si="11"/>
        <v>0</v>
      </c>
      <c r="AI76" s="46">
        <f t="shared" si="12"/>
        <v>0</v>
      </c>
      <c r="AJ76" s="47">
        <f t="shared" si="13"/>
        <v>0</v>
      </c>
      <c r="AK76" s="5"/>
      <c r="AL76" s="42">
        <f t="shared" si="14"/>
        <v>1</v>
      </c>
      <c r="AM76" s="3">
        <f t="shared" si="15"/>
        <v>1</v>
      </c>
      <c r="AN76" s="3">
        <f t="shared" si="16"/>
        <v>1</v>
      </c>
      <c r="AO76" s="3">
        <f t="shared" si="17"/>
        <v>221.5</v>
      </c>
      <c r="AP76" s="44">
        <f t="shared" si="18"/>
        <v>26541.7</v>
      </c>
      <c r="AQ76" s="48">
        <f t="shared" si="19"/>
        <v>3</v>
      </c>
      <c r="AR76" s="46">
        <f t="shared" si="20"/>
        <v>0.004655989792</v>
      </c>
      <c r="AS76" s="47">
        <f t="shared" si="21"/>
        <v>0</v>
      </c>
      <c r="AT76" s="5"/>
      <c r="AU76" s="49">
        <f t="shared" si="27"/>
        <v>26541.7</v>
      </c>
      <c r="AV76" s="50">
        <f t="shared" si="23"/>
        <v>1</v>
      </c>
      <c r="AW76" s="51">
        <f t="shared" si="24"/>
        <v>0.002575160302</v>
      </c>
      <c r="AX76" s="52">
        <f t="shared" si="25"/>
        <v>0</v>
      </c>
      <c r="AY76" s="5"/>
      <c r="AZ76" s="53">
        <f t="shared" si="26"/>
        <v>1</v>
      </c>
      <c r="BA76" s="5"/>
      <c r="BB76" s="5"/>
      <c r="BC76" s="5"/>
    </row>
    <row r="77" ht="12.75" customHeight="1">
      <c r="A77" s="25"/>
      <c r="B77" s="27" t="s">
        <v>173</v>
      </c>
      <c r="C77" s="89"/>
      <c r="D77" s="90">
        <v>68842.73</v>
      </c>
      <c r="E77" s="94" t="s">
        <v>49</v>
      </c>
      <c r="F77" s="91">
        <v>39873.0</v>
      </c>
      <c r="G77" s="31" t="s">
        <v>40</v>
      </c>
      <c r="H77" s="88">
        <v>40057.0</v>
      </c>
      <c r="I77" s="32">
        <f t="shared" si="1"/>
        <v>6.133333333</v>
      </c>
      <c r="J77" s="64" t="s">
        <v>174</v>
      </c>
      <c r="K77" s="70">
        <v>79624.0</v>
      </c>
      <c r="L77" s="65">
        <v>3404.63</v>
      </c>
      <c r="M77" s="65">
        <f>5040.67+6283.53</f>
        <v>11324.2</v>
      </c>
      <c r="N77" s="65">
        <v>1242.86</v>
      </c>
      <c r="O77" s="65">
        <f t="shared" si="35"/>
        <v>0</v>
      </c>
      <c r="P77" s="35">
        <f t="shared" si="3"/>
        <v>5190.42</v>
      </c>
      <c r="Q77" s="36">
        <f t="shared" si="4"/>
        <v>0.07539532497</v>
      </c>
      <c r="R77" s="36">
        <f t="shared" si="5"/>
        <v>0.924604675</v>
      </c>
      <c r="S77" s="37"/>
      <c r="T77" s="5"/>
      <c r="U77" s="54"/>
      <c r="V77" s="55"/>
      <c r="W77" s="55"/>
      <c r="X77" s="56"/>
      <c r="Y77" s="55"/>
      <c r="Z77" s="55"/>
      <c r="AA77" s="57"/>
      <c r="AB77" s="5"/>
      <c r="AC77" s="42">
        <f t="shared" si="6"/>
        <v>1</v>
      </c>
      <c r="AD77" s="3">
        <f t="shared" si="7"/>
        <v>1</v>
      </c>
      <c r="AE77" s="3">
        <f t="shared" si="8"/>
        <v>1</v>
      </c>
      <c r="AF77" s="43">
        <f t="shared" si="9"/>
        <v>12567.06</v>
      </c>
      <c r="AG77" s="44">
        <f t="shared" si="10"/>
        <v>68842.73</v>
      </c>
      <c r="AH77" s="45">
        <f t="shared" si="11"/>
        <v>6.133333333</v>
      </c>
      <c r="AI77" s="46">
        <f t="shared" si="12"/>
        <v>0.014897777</v>
      </c>
      <c r="AJ77" s="47">
        <f t="shared" si="13"/>
        <v>0.001123222738</v>
      </c>
      <c r="AK77" s="5"/>
      <c r="AL77" s="42">
        <f t="shared" si="14"/>
        <v>0</v>
      </c>
      <c r="AM77" s="3">
        <f t="shared" si="15"/>
        <v>1</v>
      </c>
      <c r="AN77" s="3">
        <f t="shared" si="16"/>
        <v>0</v>
      </c>
      <c r="AO77" s="3">
        <f t="shared" si="17"/>
        <v>0</v>
      </c>
      <c r="AP77" s="44">
        <f t="shared" si="18"/>
        <v>0</v>
      </c>
      <c r="AQ77" s="48">
        <f t="shared" si="19"/>
        <v>0</v>
      </c>
      <c r="AR77" s="46">
        <f t="shared" si="20"/>
        <v>0</v>
      </c>
      <c r="AS77" s="47">
        <f t="shared" si="21"/>
        <v>0</v>
      </c>
      <c r="AT77" s="5"/>
      <c r="AU77" s="49">
        <f t="shared" si="27"/>
        <v>68842.73</v>
      </c>
      <c r="AV77" s="50">
        <f t="shared" si="23"/>
        <v>1</v>
      </c>
      <c r="AW77" s="51">
        <f t="shared" si="24"/>
        <v>0.006679341012</v>
      </c>
      <c r="AX77" s="52">
        <f t="shared" si="25"/>
        <v>0.0005035910862</v>
      </c>
      <c r="AY77" s="5"/>
      <c r="AZ77" s="53">
        <f t="shared" si="26"/>
        <v>1</v>
      </c>
      <c r="BA77" s="5"/>
      <c r="BB77" s="5"/>
      <c r="BC77" s="5"/>
    </row>
    <row r="78" ht="12.75" customHeight="1">
      <c r="A78" s="25"/>
      <c r="B78" s="95" t="s">
        <v>175</v>
      </c>
      <c r="C78" s="96"/>
      <c r="D78" s="97">
        <v>17177.87</v>
      </c>
      <c r="E78" s="98" t="s">
        <v>39</v>
      </c>
      <c r="F78" s="99">
        <v>39873.0</v>
      </c>
      <c r="G78" s="100" t="s">
        <v>40</v>
      </c>
      <c r="H78" s="83">
        <v>40147.0</v>
      </c>
      <c r="I78" s="32">
        <f t="shared" si="1"/>
        <v>9.133333333</v>
      </c>
      <c r="J78" s="85" t="s">
        <v>176</v>
      </c>
      <c r="K78" s="86">
        <v>18000.0</v>
      </c>
      <c r="L78" s="87">
        <v>903.62</v>
      </c>
      <c r="M78" s="87">
        <f>169.5+119.08+360.63+5.36</f>
        <v>654.57</v>
      </c>
      <c r="N78" s="87">
        <v>0.0</v>
      </c>
      <c r="O78" s="87">
        <f t="shared" si="35"/>
        <v>0</v>
      </c>
      <c r="P78" s="35">
        <f t="shared" si="3"/>
        <v>736.06</v>
      </c>
      <c r="Q78" s="36">
        <f t="shared" si="4"/>
        <v>0.04284931717</v>
      </c>
      <c r="R78" s="36">
        <f t="shared" si="5"/>
        <v>0.9571506828</v>
      </c>
      <c r="S78" s="37"/>
      <c r="T78" s="5"/>
      <c r="U78" s="54"/>
      <c r="V78" s="55"/>
      <c r="W78" s="55"/>
      <c r="X78" s="56"/>
      <c r="Y78" s="55"/>
      <c r="Z78" s="55"/>
      <c r="AA78" s="57"/>
      <c r="AB78" s="5"/>
      <c r="AC78" s="42">
        <f t="shared" si="6"/>
        <v>0</v>
      </c>
      <c r="AD78" s="3">
        <f t="shared" si="7"/>
        <v>1</v>
      </c>
      <c r="AE78" s="3">
        <f t="shared" si="8"/>
        <v>0</v>
      </c>
      <c r="AF78" s="43">
        <f t="shared" si="9"/>
        <v>0</v>
      </c>
      <c r="AG78" s="44">
        <f t="shared" si="10"/>
        <v>0</v>
      </c>
      <c r="AH78" s="45">
        <f t="shared" si="11"/>
        <v>0</v>
      </c>
      <c r="AI78" s="46">
        <f t="shared" si="12"/>
        <v>0</v>
      </c>
      <c r="AJ78" s="47">
        <f t="shared" si="13"/>
        <v>0</v>
      </c>
      <c r="AK78" s="5"/>
      <c r="AL78" s="42">
        <f t="shared" si="14"/>
        <v>1</v>
      </c>
      <c r="AM78" s="3">
        <f t="shared" si="15"/>
        <v>1</v>
      </c>
      <c r="AN78" s="3">
        <f t="shared" si="16"/>
        <v>1</v>
      </c>
      <c r="AO78" s="3">
        <f t="shared" si="17"/>
        <v>654.57</v>
      </c>
      <c r="AP78" s="44">
        <f t="shared" si="18"/>
        <v>17177.87</v>
      </c>
      <c r="AQ78" s="48">
        <f t="shared" si="19"/>
        <v>9.133333333</v>
      </c>
      <c r="AR78" s="46">
        <f t="shared" si="20"/>
        <v>0.003013370936</v>
      </c>
      <c r="AS78" s="47">
        <f t="shared" si="21"/>
        <v>0.000129120887</v>
      </c>
      <c r="AT78" s="5"/>
      <c r="AU78" s="49">
        <f t="shared" si="27"/>
        <v>17177.87</v>
      </c>
      <c r="AV78" s="50">
        <f t="shared" si="23"/>
        <v>1</v>
      </c>
      <c r="AW78" s="51">
        <f t="shared" si="24"/>
        <v>0.00166665168</v>
      </c>
      <c r="AX78" s="52">
        <f t="shared" si="25"/>
        <v>0.00007141488645</v>
      </c>
      <c r="AY78" s="5"/>
      <c r="AZ78" s="53">
        <f t="shared" si="26"/>
        <v>1</v>
      </c>
      <c r="BA78" s="5"/>
      <c r="BB78" s="5"/>
      <c r="BC78" s="5"/>
    </row>
    <row r="79" ht="12.75" customHeight="1">
      <c r="A79" s="25"/>
      <c r="B79" s="27" t="s">
        <v>177</v>
      </c>
      <c r="C79" s="89"/>
      <c r="D79" s="90">
        <v>19854.92</v>
      </c>
      <c r="E79" s="94" t="s">
        <v>39</v>
      </c>
      <c r="F79" s="91">
        <v>39873.0</v>
      </c>
      <c r="G79" s="32" t="s">
        <v>40</v>
      </c>
      <c r="H79" s="88">
        <v>40156.0</v>
      </c>
      <c r="I79" s="32">
        <f t="shared" si="1"/>
        <v>9.433333333</v>
      </c>
      <c r="J79" s="64" t="s">
        <v>178</v>
      </c>
      <c r="K79" s="70">
        <v>10400.0</v>
      </c>
      <c r="L79" s="65">
        <v>774.44</v>
      </c>
      <c r="M79" s="65">
        <v>0.0</v>
      </c>
      <c r="N79" s="65">
        <f>37.22+20+22+73.28</f>
        <v>152.5</v>
      </c>
      <c r="O79" s="65">
        <f t="shared" si="35"/>
        <v>9454.92</v>
      </c>
      <c r="P79" s="35">
        <f t="shared" si="3"/>
        <v>10381.86</v>
      </c>
      <c r="Q79" s="36">
        <f t="shared" si="4"/>
        <v>0.5228860152</v>
      </c>
      <c r="R79" s="36">
        <f t="shared" si="5"/>
        <v>0.4771139848</v>
      </c>
      <c r="S79" s="37"/>
      <c r="T79" s="5"/>
      <c r="U79" s="54"/>
      <c r="V79" s="55"/>
      <c r="W79" s="55"/>
      <c r="X79" s="56"/>
      <c r="Y79" s="55"/>
      <c r="Z79" s="55"/>
      <c r="AA79" s="57"/>
      <c r="AB79" s="5"/>
      <c r="AC79" s="42">
        <f t="shared" si="6"/>
        <v>0</v>
      </c>
      <c r="AD79" s="3">
        <f t="shared" si="7"/>
        <v>1</v>
      </c>
      <c r="AE79" s="3">
        <f t="shared" si="8"/>
        <v>0</v>
      </c>
      <c r="AF79" s="43">
        <f t="shared" si="9"/>
        <v>0</v>
      </c>
      <c r="AG79" s="44">
        <f t="shared" si="10"/>
        <v>0</v>
      </c>
      <c r="AH79" s="45">
        <f t="shared" si="11"/>
        <v>0</v>
      </c>
      <c r="AI79" s="46">
        <f t="shared" si="12"/>
        <v>0</v>
      </c>
      <c r="AJ79" s="47">
        <f t="shared" si="13"/>
        <v>0</v>
      </c>
      <c r="AK79" s="5"/>
      <c r="AL79" s="42">
        <f t="shared" si="14"/>
        <v>1</v>
      </c>
      <c r="AM79" s="3">
        <f t="shared" si="15"/>
        <v>1</v>
      </c>
      <c r="AN79" s="3">
        <f t="shared" si="16"/>
        <v>1</v>
      </c>
      <c r="AO79" s="3">
        <f t="shared" si="17"/>
        <v>152.5</v>
      </c>
      <c r="AP79" s="44">
        <f t="shared" si="18"/>
        <v>19854.92</v>
      </c>
      <c r="AQ79" s="48">
        <f t="shared" si="19"/>
        <v>9.433333333</v>
      </c>
      <c r="AR79" s="46">
        <f t="shared" si="20"/>
        <v>0.003482983563</v>
      </c>
      <c r="AS79" s="47">
        <f t="shared" si="21"/>
        <v>0.001821203396</v>
      </c>
      <c r="AT79" s="5"/>
      <c r="AU79" s="49">
        <f t="shared" si="27"/>
        <v>19854.92</v>
      </c>
      <c r="AV79" s="50">
        <f t="shared" si="23"/>
        <v>1</v>
      </c>
      <c r="AW79" s="51">
        <f t="shared" si="24"/>
        <v>0.0019263876</v>
      </c>
      <c r="AX79" s="52">
        <f t="shared" si="25"/>
        <v>0.001007281136</v>
      </c>
      <c r="AY79" s="5"/>
      <c r="AZ79" s="53">
        <f t="shared" si="26"/>
        <v>1</v>
      </c>
      <c r="BA79" s="5"/>
      <c r="BB79" s="5"/>
      <c r="BC79" s="5"/>
    </row>
    <row r="80" ht="12.75" customHeight="1">
      <c r="A80" s="25"/>
      <c r="B80" s="92" t="s">
        <v>179</v>
      </c>
      <c r="C80" s="93"/>
      <c r="D80" s="90">
        <v>13217.85</v>
      </c>
      <c r="E80" s="94" t="s">
        <v>49</v>
      </c>
      <c r="F80" s="91">
        <v>39933.0</v>
      </c>
      <c r="G80" s="32" t="s">
        <v>40</v>
      </c>
      <c r="H80" s="88">
        <v>40376.0</v>
      </c>
      <c r="I80" s="32">
        <f t="shared" si="1"/>
        <v>14.76666667</v>
      </c>
      <c r="J80" s="64" t="s">
        <v>129</v>
      </c>
      <c r="K80" s="70">
        <v>12000.0</v>
      </c>
      <c r="L80" s="65">
        <v>0.0</v>
      </c>
      <c r="M80" s="65">
        <v>115.1</v>
      </c>
      <c r="N80" s="65">
        <v>0.0</v>
      </c>
      <c r="O80" s="65">
        <f t="shared" si="35"/>
        <v>1217.85</v>
      </c>
      <c r="P80" s="35">
        <f t="shared" si="3"/>
        <v>1332.95</v>
      </c>
      <c r="Q80" s="36">
        <f t="shared" si="4"/>
        <v>0.1008446911</v>
      </c>
      <c r="R80" s="36">
        <f t="shared" si="5"/>
        <v>0.8991553089</v>
      </c>
      <c r="S80" s="37"/>
      <c r="T80" s="5"/>
      <c r="U80" s="54"/>
      <c r="V80" s="55"/>
      <c r="W80" s="55"/>
      <c r="X80" s="56"/>
      <c r="Y80" s="55"/>
      <c r="Z80" s="55"/>
      <c r="AA80" s="57"/>
      <c r="AB80" s="5"/>
      <c r="AC80" s="42">
        <f t="shared" si="6"/>
        <v>1</v>
      </c>
      <c r="AD80" s="3">
        <f t="shared" si="7"/>
        <v>1</v>
      </c>
      <c r="AE80" s="3">
        <f t="shared" si="8"/>
        <v>1</v>
      </c>
      <c r="AF80" s="43">
        <f t="shared" si="9"/>
        <v>115.1</v>
      </c>
      <c r="AG80" s="44">
        <f t="shared" si="10"/>
        <v>13217.85</v>
      </c>
      <c r="AH80" s="45">
        <f t="shared" si="11"/>
        <v>14.76666667</v>
      </c>
      <c r="AI80" s="46">
        <f t="shared" si="12"/>
        <v>0.002860383103</v>
      </c>
      <c r="AJ80" s="47">
        <f t="shared" si="13"/>
        <v>0.0002884544504</v>
      </c>
      <c r="AK80" s="5"/>
      <c r="AL80" s="42">
        <f t="shared" si="14"/>
        <v>0</v>
      </c>
      <c r="AM80" s="3">
        <f t="shared" si="15"/>
        <v>1</v>
      </c>
      <c r="AN80" s="3">
        <f t="shared" si="16"/>
        <v>0</v>
      </c>
      <c r="AO80" s="3">
        <f t="shared" si="17"/>
        <v>0</v>
      </c>
      <c r="AP80" s="44">
        <f t="shared" si="18"/>
        <v>0</v>
      </c>
      <c r="AQ80" s="48">
        <f t="shared" si="19"/>
        <v>0</v>
      </c>
      <c r="AR80" s="46">
        <f t="shared" si="20"/>
        <v>0</v>
      </c>
      <c r="AS80" s="47">
        <f t="shared" si="21"/>
        <v>0</v>
      </c>
      <c r="AT80" s="5"/>
      <c r="AU80" s="49">
        <f t="shared" si="27"/>
        <v>13217.85</v>
      </c>
      <c r="AV80" s="50">
        <f t="shared" si="23"/>
        <v>1</v>
      </c>
      <c r="AW80" s="51">
        <f t="shared" si="24"/>
        <v>0.001282437922</v>
      </c>
      <c r="AX80" s="52">
        <f t="shared" si="25"/>
        <v>0.0001293270561</v>
      </c>
      <c r="AY80" s="5"/>
      <c r="AZ80" s="53">
        <f t="shared" si="26"/>
        <v>1</v>
      </c>
      <c r="BA80" s="5"/>
      <c r="BB80" s="5"/>
      <c r="BC80" s="5"/>
    </row>
    <row r="81" ht="12.75" customHeight="1">
      <c r="A81" s="25"/>
      <c r="B81" s="27" t="s">
        <v>180</v>
      </c>
      <c r="C81" s="89"/>
      <c r="D81" s="90">
        <f>16946.11+1598</f>
        <v>18544.11</v>
      </c>
      <c r="E81" s="94" t="s">
        <v>39</v>
      </c>
      <c r="F81" s="91">
        <v>39934.0</v>
      </c>
      <c r="G81" s="32" t="s">
        <v>40</v>
      </c>
      <c r="H81" s="88">
        <v>40357.0</v>
      </c>
      <c r="I81" s="32">
        <f t="shared" si="1"/>
        <v>14.1</v>
      </c>
      <c r="J81" s="64" t="s">
        <v>181</v>
      </c>
      <c r="K81" s="70">
        <v>10000.0</v>
      </c>
      <c r="L81" s="65">
        <v>124.84</v>
      </c>
      <c r="M81" s="65">
        <f>246.52+400.87+14+300</f>
        <v>961.39</v>
      </c>
      <c r="N81" s="65">
        <f>5+4.04+160.94+43.48+73.28+33.65</f>
        <v>320.39</v>
      </c>
      <c r="O81" s="65">
        <f t="shared" si="35"/>
        <v>8544.11</v>
      </c>
      <c r="P81" s="35">
        <f t="shared" si="3"/>
        <v>9950.73</v>
      </c>
      <c r="Q81" s="36">
        <f t="shared" si="4"/>
        <v>0.5365978739</v>
      </c>
      <c r="R81" s="36">
        <f t="shared" si="5"/>
        <v>0.4634021261</v>
      </c>
      <c r="S81" s="37"/>
      <c r="T81" s="5"/>
      <c r="U81" s="54"/>
      <c r="V81" s="55"/>
      <c r="W81" s="55"/>
      <c r="X81" s="56"/>
      <c r="Y81" s="55"/>
      <c r="Z81" s="55"/>
      <c r="AA81" s="57"/>
      <c r="AB81" s="5"/>
      <c r="AC81" s="42">
        <f t="shared" si="6"/>
        <v>0</v>
      </c>
      <c r="AD81" s="3">
        <f t="shared" si="7"/>
        <v>1</v>
      </c>
      <c r="AE81" s="3">
        <f t="shared" si="8"/>
        <v>0</v>
      </c>
      <c r="AF81" s="43">
        <f t="shared" si="9"/>
        <v>0</v>
      </c>
      <c r="AG81" s="44">
        <f t="shared" si="10"/>
        <v>0</v>
      </c>
      <c r="AH81" s="45">
        <f t="shared" si="11"/>
        <v>0</v>
      </c>
      <c r="AI81" s="46">
        <f t="shared" si="12"/>
        <v>0</v>
      </c>
      <c r="AJ81" s="47">
        <f t="shared" si="13"/>
        <v>0</v>
      </c>
      <c r="AK81" s="5"/>
      <c r="AL81" s="42">
        <f t="shared" si="14"/>
        <v>1</v>
      </c>
      <c r="AM81" s="3">
        <f t="shared" si="15"/>
        <v>1</v>
      </c>
      <c r="AN81" s="3">
        <f t="shared" si="16"/>
        <v>1</v>
      </c>
      <c r="AO81" s="3">
        <f t="shared" si="17"/>
        <v>1281.78</v>
      </c>
      <c r="AP81" s="44">
        <f t="shared" si="18"/>
        <v>18544.11</v>
      </c>
      <c r="AQ81" s="48">
        <f t="shared" si="19"/>
        <v>14.1</v>
      </c>
      <c r="AR81" s="46">
        <f t="shared" si="20"/>
        <v>0.003253039061</v>
      </c>
      <c r="AS81" s="47">
        <f t="shared" si="21"/>
        <v>0.001745573844</v>
      </c>
      <c r="AT81" s="5"/>
      <c r="AU81" s="49">
        <f t="shared" si="27"/>
        <v>18544.11</v>
      </c>
      <c r="AV81" s="50">
        <f t="shared" si="23"/>
        <v>1</v>
      </c>
      <c r="AW81" s="51">
        <f t="shared" si="24"/>
        <v>0.001799208638</v>
      </c>
      <c r="AX81" s="52">
        <f t="shared" si="25"/>
        <v>0.0009654515298</v>
      </c>
      <c r="AY81" s="5"/>
      <c r="AZ81" s="53">
        <f t="shared" si="26"/>
        <v>1</v>
      </c>
      <c r="BA81" s="5"/>
      <c r="BB81" s="5"/>
      <c r="BC81" s="5"/>
    </row>
    <row r="82" ht="12.75" customHeight="1">
      <c r="A82" s="25"/>
      <c r="B82" s="92" t="s">
        <v>182</v>
      </c>
      <c r="C82" s="93"/>
      <c r="D82" s="90">
        <v>34692.4</v>
      </c>
      <c r="E82" s="94" t="s">
        <v>39</v>
      </c>
      <c r="F82" s="91">
        <v>39942.0</v>
      </c>
      <c r="G82" s="32" t="s">
        <v>40</v>
      </c>
      <c r="H82" s="88">
        <v>39962.0</v>
      </c>
      <c r="I82" s="32">
        <f t="shared" si="1"/>
        <v>0.6666666667</v>
      </c>
      <c r="J82" s="64" t="s">
        <v>183</v>
      </c>
      <c r="K82" s="70">
        <v>34500.0</v>
      </c>
      <c r="L82" s="65">
        <f>76.85+17+104.15+43.45+65+10.65+950.24</f>
        <v>1267.34</v>
      </c>
      <c r="M82" s="65">
        <f>479.55+714.65+44.32</f>
        <v>1238.52</v>
      </c>
      <c r="N82" s="65">
        <v>0.0</v>
      </c>
      <c r="O82" s="65">
        <f t="shared" si="35"/>
        <v>192.4</v>
      </c>
      <c r="P82" s="35">
        <f t="shared" si="3"/>
        <v>2698.26</v>
      </c>
      <c r="Q82" s="36">
        <f t="shared" si="4"/>
        <v>0.07777668884</v>
      </c>
      <c r="R82" s="36">
        <f t="shared" si="5"/>
        <v>0.9222233112</v>
      </c>
      <c r="S82" s="37"/>
      <c r="T82" s="5"/>
      <c r="U82" s="54"/>
      <c r="V82" s="55"/>
      <c r="W82" s="55"/>
      <c r="X82" s="56"/>
      <c r="Y82" s="55"/>
      <c r="Z82" s="55"/>
      <c r="AA82" s="57"/>
      <c r="AB82" s="5"/>
      <c r="AC82" s="42">
        <f t="shared" si="6"/>
        <v>0</v>
      </c>
      <c r="AD82" s="3">
        <f t="shared" si="7"/>
        <v>1</v>
      </c>
      <c r="AE82" s="3">
        <f t="shared" si="8"/>
        <v>0</v>
      </c>
      <c r="AF82" s="43">
        <f t="shared" si="9"/>
        <v>0</v>
      </c>
      <c r="AG82" s="44">
        <f t="shared" si="10"/>
        <v>0</v>
      </c>
      <c r="AH82" s="45">
        <f t="shared" si="11"/>
        <v>0</v>
      </c>
      <c r="AI82" s="46">
        <f t="shared" si="12"/>
        <v>0</v>
      </c>
      <c r="AJ82" s="47">
        <f t="shared" si="13"/>
        <v>0</v>
      </c>
      <c r="AK82" s="5"/>
      <c r="AL82" s="42">
        <f t="shared" si="14"/>
        <v>1</v>
      </c>
      <c r="AM82" s="3">
        <f t="shared" si="15"/>
        <v>1</v>
      </c>
      <c r="AN82" s="3">
        <f t="shared" si="16"/>
        <v>1</v>
      </c>
      <c r="AO82" s="3">
        <f t="shared" si="17"/>
        <v>1238.52</v>
      </c>
      <c r="AP82" s="44">
        <f t="shared" si="18"/>
        <v>34692.4</v>
      </c>
      <c r="AQ82" s="48">
        <f t="shared" si="19"/>
        <v>0.6666666667</v>
      </c>
      <c r="AR82" s="46">
        <f t="shared" si="20"/>
        <v>0.006085799337</v>
      </c>
      <c r="AS82" s="47">
        <f t="shared" si="21"/>
        <v>0.0004733333214</v>
      </c>
      <c r="AT82" s="5"/>
      <c r="AU82" s="49">
        <f t="shared" si="27"/>
        <v>34692.4</v>
      </c>
      <c r="AV82" s="50">
        <f t="shared" si="23"/>
        <v>1</v>
      </c>
      <c r="AW82" s="51">
        <f t="shared" si="24"/>
        <v>0.003365967186</v>
      </c>
      <c r="AX82" s="52">
        <f t="shared" si="25"/>
        <v>0.0002617937824</v>
      </c>
      <c r="AY82" s="5"/>
      <c r="AZ82" s="53">
        <f t="shared" si="26"/>
        <v>1</v>
      </c>
      <c r="BA82" s="5"/>
      <c r="BB82" s="5"/>
      <c r="BC82" s="5"/>
    </row>
    <row r="83" ht="12.75" customHeight="1">
      <c r="A83" s="69"/>
      <c r="B83" s="92" t="s">
        <v>184</v>
      </c>
      <c r="C83" s="93"/>
      <c r="D83" s="90">
        <v>12703.21</v>
      </c>
      <c r="E83" s="94" t="s">
        <v>39</v>
      </c>
      <c r="F83" s="91">
        <v>39942.0</v>
      </c>
      <c r="G83" s="32" t="s">
        <v>40</v>
      </c>
      <c r="H83" s="88">
        <v>39962.0</v>
      </c>
      <c r="I83" s="32">
        <f t="shared" si="1"/>
        <v>0.6666666667</v>
      </c>
      <c r="J83" s="64" t="s">
        <v>185</v>
      </c>
      <c r="K83" s="70">
        <v>14000.0</v>
      </c>
      <c r="L83" s="65">
        <f>5.92+1.31+13.3+3.53+13+1.86+451.41+106.2</f>
        <v>596.53</v>
      </c>
      <c r="M83" s="65">
        <f>298.89+174.84</f>
        <v>473.73</v>
      </c>
      <c r="N83" s="65">
        <v>0.0</v>
      </c>
      <c r="O83" s="65">
        <f t="shared" si="35"/>
        <v>0</v>
      </c>
      <c r="P83" s="35">
        <f t="shared" si="3"/>
        <v>0</v>
      </c>
      <c r="Q83" s="36">
        <f t="shared" si="4"/>
        <v>0</v>
      </c>
      <c r="R83" s="36">
        <f t="shared" si="5"/>
        <v>1</v>
      </c>
      <c r="S83" s="37"/>
      <c r="T83" s="5"/>
      <c r="U83" s="54"/>
      <c r="V83" s="55"/>
      <c r="W83" s="55"/>
      <c r="X83" s="56"/>
      <c r="Y83" s="55"/>
      <c r="Z83" s="55"/>
      <c r="AA83" s="57"/>
      <c r="AB83" s="5"/>
      <c r="AC83" s="42">
        <f t="shared" si="6"/>
        <v>0</v>
      </c>
      <c r="AD83" s="3">
        <f t="shared" si="7"/>
        <v>1</v>
      </c>
      <c r="AE83" s="3">
        <f t="shared" si="8"/>
        <v>0</v>
      </c>
      <c r="AF83" s="43">
        <f t="shared" si="9"/>
        <v>0</v>
      </c>
      <c r="AG83" s="44">
        <f t="shared" si="10"/>
        <v>0</v>
      </c>
      <c r="AH83" s="45">
        <f t="shared" si="11"/>
        <v>0</v>
      </c>
      <c r="AI83" s="46">
        <f t="shared" si="12"/>
        <v>0</v>
      </c>
      <c r="AJ83" s="47">
        <f t="shared" si="13"/>
        <v>0</v>
      </c>
      <c r="AK83" s="5"/>
      <c r="AL83" s="42">
        <f t="shared" si="14"/>
        <v>1</v>
      </c>
      <c r="AM83" s="3">
        <f t="shared" si="15"/>
        <v>1</v>
      </c>
      <c r="AN83" s="3">
        <f t="shared" si="16"/>
        <v>1</v>
      </c>
      <c r="AO83" s="3">
        <f t="shared" si="17"/>
        <v>473.73</v>
      </c>
      <c r="AP83" s="44">
        <f t="shared" si="18"/>
        <v>12703.21</v>
      </c>
      <c r="AQ83" s="48">
        <f t="shared" si="19"/>
        <v>0.6666666667</v>
      </c>
      <c r="AR83" s="46">
        <f t="shared" si="20"/>
        <v>0.002228418529</v>
      </c>
      <c r="AS83" s="47">
        <f t="shared" si="21"/>
        <v>0</v>
      </c>
      <c r="AT83" s="5"/>
      <c r="AU83" s="49">
        <f t="shared" si="27"/>
        <v>12703.21</v>
      </c>
      <c r="AV83" s="50">
        <f t="shared" si="23"/>
        <v>1</v>
      </c>
      <c r="AW83" s="51">
        <f t="shared" si="24"/>
        <v>0.001232505909</v>
      </c>
      <c r="AX83" s="52">
        <f t="shared" si="25"/>
        <v>0</v>
      </c>
      <c r="AY83" s="5"/>
      <c r="AZ83" s="53">
        <f t="shared" si="26"/>
        <v>1</v>
      </c>
      <c r="BA83" s="5"/>
      <c r="BB83" s="5"/>
      <c r="BC83" s="5"/>
    </row>
    <row r="84" ht="12.75" customHeight="1">
      <c r="A84" s="25"/>
      <c r="B84" s="27" t="s">
        <v>186</v>
      </c>
      <c r="C84" s="89"/>
      <c r="D84" s="90">
        <v>19974.97</v>
      </c>
      <c r="E84" s="94" t="s">
        <v>39</v>
      </c>
      <c r="F84" s="91">
        <v>39942.0</v>
      </c>
      <c r="G84" s="31" t="s">
        <v>40</v>
      </c>
      <c r="H84" s="88">
        <v>39995.0</v>
      </c>
      <c r="I84" s="32">
        <f t="shared" si="1"/>
        <v>1.766666667</v>
      </c>
      <c r="J84" s="33" t="s">
        <v>187</v>
      </c>
      <c r="K84" s="70">
        <v>18000.0</v>
      </c>
      <c r="L84" s="65">
        <f>34.8+7.72+32.4+20.08+52+7.76+778.12</f>
        <v>932.88</v>
      </c>
      <c r="M84" s="65">
        <f>150.73+245.77+750</f>
        <v>1146.5</v>
      </c>
      <c r="N84" s="65">
        <v>337.0</v>
      </c>
      <c r="O84" s="65">
        <f t="shared" si="35"/>
        <v>1974.97</v>
      </c>
      <c r="P84" s="35">
        <f t="shared" si="3"/>
        <v>4391.35</v>
      </c>
      <c r="Q84" s="36">
        <f t="shared" si="4"/>
        <v>0.2198426331</v>
      </c>
      <c r="R84" s="36">
        <f t="shared" si="5"/>
        <v>0.7801573669</v>
      </c>
      <c r="S84" s="37"/>
      <c r="T84" s="5"/>
      <c r="U84" s="54"/>
      <c r="V84" s="55"/>
      <c r="W84" s="55"/>
      <c r="X84" s="56"/>
      <c r="Y84" s="55"/>
      <c r="Z84" s="55"/>
      <c r="AA84" s="57"/>
      <c r="AB84" s="5"/>
      <c r="AC84" s="42">
        <f t="shared" si="6"/>
        <v>0</v>
      </c>
      <c r="AD84" s="3">
        <f t="shared" si="7"/>
        <v>1</v>
      </c>
      <c r="AE84" s="3">
        <f t="shared" si="8"/>
        <v>0</v>
      </c>
      <c r="AF84" s="43">
        <f t="shared" si="9"/>
        <v>0</v>
      </c>
      <c r="AG84" s="44">
        <f t="shared" si="10"/>
        <v>0</v>
      </c>
      <c r="AH84" s="45">
        <f t="shared" si="11"/>
        <v>0</v>
      </c>
      <c r="AI84" s="46">
        <f t="shared" si="12"/>
        <v>0</v>
      </c>
      <c r="AJ84" s="47">
        <f t="shared" si="13"/>
        <v>0</v>
      </c>
      <c r="AK84" s="5"/>
      <c r="AL84" s="42">
        <f t="shared" si="14"/>
        <v>1</v>
      </c>
      <c r="AM84" s="3">
        <f t="shared" si="15"/>
        <v>1</v>
      </c>
      <c r="AN84" s="3">
        <f t="shared" si="16"/>
        <v>1</v>
      </c>
      <c r="AO84" s="3">
        <f t="shared" si="17"/>
        <v>1483.5</v>
      </c>
      <c r="AP84" s="44">
        <f t="shared" si="18"/>
        <v>19974.97</v>
      </c>
      <c r="AQ84" s="48">
        <f t="shared" si="19"/>
        <v>1.766666667</v>
      </c>
      <c r="AR84" s="46">
        <f t="shared" si="20"/>
        <v>0.003504042937</v>
      </c>
      <c r="AS84" s="47">
        <f t="shared" si="21"/>
        <v>0.0007703380255</v>
      </c>
      <c r="AT84" s="5"/>
      <c r="AU84" s="49">
        <f t="shared" si="27"/>
        <v>19974.97</v>
      </c>
      <c r="AV84" s="50">
        <f t="shared" si="23"/>
        <v>1</v>
      </c>
      <c r="AW84" s="51">
        <f t="shared" si="24"/>
        <v>0.001938035234</v>
      </c>
      <c r="AX84" s="52">
        <f t="shared" si="25"/>
        <v>0.0004260627688</v>
      </c>
      <c r="AY84" s="5"/>
      <c r="AZ84" s="53">
        <f t="shared" si="26"/>
        <v>1</v>
      </c>
      <c r="BA84" s="5"/>
      <c r="BB84" s="5"/>
      <c r="BC84" s="5"/>
    </row>
    <row r="85" ht="12.75" customHeight="1">
      <c r="A85" s="25"/>
      <c r="B85" s="27" t="s">
        <v>188</v>
      </c>
      <c r="C85" s="89"/>
      <c r="D85" s="90">
        <v>70165.0</v>
      </c>
      <c r="E85" s="94" t="s">
        <v>39</v>
      </c>
      <c r="F85" s="91">
        <v>39942.0</v>
      </c>
      <c r="G85" s="32" t="s">
        <v>40</v>
      </c>
      <c r="H85" s="88">
        <v>40026.0</v>
      </c>
      <c r="I85" s="32">
        <f t="shared" si="1"/>
        <v>2.8</v>
      </c>
      <c r="J85" s="64" t="s">
        <v>189</v>
      </c>
      <c r="K85" s="70">
        <v>68000.0</v>
      </c>
      <c r="L85" s="65">
        <f>170.64+347.67+117+22.23+4836.45</f>
        <v>5493.99</v>
      </c>
      <c r="M85" s="65">
        <v>3340.44</v>
      </c>
      <c r="N85" s="65">
        <v>2166.45</v>
      </c>
      <c r="O85" s="65">
        <f t="shared" si="35"/>
        <v>2165</v>
      </c>
      <c r="P85" s="35">
        <f t="shared" si="3"/>
        <v>13165.88</v>
      </c>
      <c r="Q85" s="36">
        <f t="shared" si="4"/>
        <v>0.1876417017</v>
      </c>
      <c r="R85" s="36">
        <f t="shared" si="5"/>
        <v>0.8123582983</v>
      </c>
      <c r="S85" s="37"/>
      <c r="T85" s="5"/>
      <c r="U85" s="54"/>
      <c r="V85" s="55"/>
      <c r="W85" s="55"/>
      <c r="X85" s="56"/>
      <c r="Y85" s="55"/>
      <c r="Z85" s="55"/>
      <c r="AA85" s="57"/>
      <c r="AB85" s="5"/>
      <c r="AC85" s="42">
        <f t="shared" si="6"/>
        <v>0</v>
      </c>
      <c r="AD85" s="3">
        <f t="shared" si="7"/>
        <v>1</v>
      </c>
      <c r="AE85" s="3">
        <f t="shared" si="8"/>
        <v>0</v>
      </c>
      <c r="AF85" s="43">
        <f t="shared" si="9"/>
        <v>0</v>
      </c>
      <c r="AG85" s="44">
        <f t="shared" si="10"/>
        <v>0</v>
      </c>
      <c r="AH85" s="45">
        <f t="shared" si="11"/>
        <v>0</v>
      </c>
      <c r="AI85" s="46">
        <f t="shared" si="12"/>
        <v>0</v>
      </c>
      <c r="AJ85" s="47">
        <f t="shared" si="13"/>
        <v>0</v>
      </c>
      <c r="AK85" s="5"/>
      <c r="AL85" s="42">
        <f t="shared" si="14"/>
        <v>1</v>
      </c>
      <c r="AM85" s="3">
        <f t="shared" si="15"/>
        <v>1</v>
      </c>
      <c r="AN85" s="3">
        <f t="shared" si="16"/>
        <v>1</v>
      </c>
      <c r="AO85" s="3">
        <f t="shared" si="17"/>
        <v>5506.89</v>
      </c>
      <c r="AP85" s="44">
        <f t="shared" si="18"/>
        <v>70165</v>
      </c>
      <c r="AQ85" s="48">
        <f t="shared" si="19"/>
        <v>2.8</v>
      </c>
      <c r="AR85" s="46">
        <f t="shared" si="20"/>
        <v>0.01230846267</v>
      </c>
      <c r="AS85" s="47">
        <f t="shared" si="21"/>
        <v>0.002309580881</v>
      </c>
      <c r="AT85" s="5"/>
      <c r="AU85" s="49">
        <f t="shared" si="27"/>
        <v>70165</v>
      </c>
      <c r="AV85" s="50">
        <f t="shared" si="23"/>
        <v>1</v>
      </c>
      <c r="AW85" s="51">
        <f t="shared" si="24"/>
        <v>0.006807631861</v>
      </c>
      <c r="AX85" s="52">
        <f t="shared" si="25"/>
        <v>0.001277395627</v>
      </c>
      <c r="AY85" s="5"/>
      <c r="AZ85" s="53">
        <f t="shared" si="26"/>
        <v>1</v>
      </c>
      <c r="BA85" s="5"/>
      <c r="BB85" s="5"/>
      <c r="BC85" s="5"/>
    </row>
    <row r="86" ht="12.75" customHeight="1">
      <c r="A86" s="69"/>
      <c r="B86" s="92" t="s">
        <v>190</v>
      </c>
      <c r="C86" s="93"/>
      <c r="D86" s="90">
        <v>29070.86</v>
      </c>
      <c r="E86" s="94" t="s">
        <v>49</v>
      </c>
      <c r="F86" s="91">
        <v>39965.0</v>
      </c>
      <c r="G86" s="32" t="s">
        <v>40</v>
      </c>
      <c r="H86" s="88">
        <v>40247.0</v>
      </c>
      <c r="I86" s="32">
        <f t="shared" si="1"/>
        <v>9.4</v>
      </c>
      <c r="J86" s="33" t="s">
        <v>191</v>
      </c>
      <c r="K86" s="70">
        <v>30600.0</v>
      </c>
      <c r="L86" s="65">
        <v>1274.96</v>
      </c>
      <c r="M86" s="65">
        <f>2294.23+581.41+2440.81</f>
        <v>5316.45</v>
      </c>
      <c r="N86" s="65">
        <f>146.58+10.62+40+20+16.67+9.49+450</f>
        <v>693.36</v>
      </c>
      <c r="O86" s="65">
        <f t="shared" si="35"/>
        <v>0</v>
      </c>
      <c r="P86" s="35">
        <f t="shared" si="3"/>
        <v>5755.63</v>
      </c>
      <c r="Q86" s="36">
        <f t="shared" si="4"/>
        <v>0.1979862309</v>
      </c>
      <c r="R86" s="36">
        <f t="shared" si="5"/>
        <v>0.8020137691</v>
      </c>
      <c r="S86" s="37"/>
      <c r="T86" s="5"/>
      <c r="U86" s="54"/>
      <c r="V86" s="55"/>
      <c r="W86" s="55"/>
      <c r="X86" s="56"/>
      <c r="Y86" s="55"/>
      <c r="Z86" s="55"/>
      <c r="AA86" s="57"/>
      <c r="AB86" s="5"/>
      <c r="AC86" s="42">
        <f t="shared" si="6"/>
        <v>1</v>
      </c>
      <c r="AD86" s="3">
        <f t="shared" si="7"/>
        <v>1</v>
      </c>
      <c r="AE86" s="3">
        <f t="shared" si="8"/>
        <v>1</v>
      </c>
      <c r="AF86" s="43">
        <f t="shared" si="9"/>
        <v>6009.81</v>
      </c>
      <c r="AG86" s="44">
        <f t="shared" si="10"/>
        <v>29070.86</v>
      </c>
      <c r="AH86" s="45">
        <f t="shared" si="11"/>
        <v>9.4</v>
      </c>
      <c r="AI86" s="46">
        <f t="shared" si="12"/>
        <v>0.006291022878</v>
      </c>
      <c r="AJ86" s="47">
        <f t="shared" si="13"/>
        <v>0.001245535908</v>
      </c>
      <c r="AK86" s="5"/>
      <c r="AL86" s="42">
        <f t="shared" si="14"/>
        <v>0</v>
      </c>
      <c r="AM86" s="3">
        <f t="shared" si="15"/>
        <v>1</v>
      </c>
      <c r="AN86" s="3">
        <f t="shared" si="16"/>
        <v>0</v>
      </c>
      <c r="AO86" s="3">
        <f t="shared" si="17"/>
        <v>0</v>
      </c>
      <c r="AP86" s="44">
        <f t="shared" si="18"/>
        <v>0</v>
      </c>
      <c r="AQ86" s="48">
        <f t="shared" si="19"/>
        <v>0</v>
      </c>
      <c r="AR86" s="46">
        <f t="shared" si="20"/>
        <v>0</v>
      </c>
      <c r="AS86" s="47">
        <f t="shared" si="21"/>
        <v>0</v>
      </c>
      <c r="AT86" s="5"/>
      <c r="AU86" s="49">
        <f t="shared" si="27"/>
        <v>29070.86</v>
      </c>
      <c r="AV86" s="50">
        <f t="shared" si="23"/>
        <v>1</v>
      </c>
      <c r="AW86" s="51">
        <f t="shared" si="24"/>
        <v>0.002820547463</v>
      </c>
      <c r="AX86" s="52">
        <f t="shared" si="25"/>
        <v>0.0005584295613</v>
      </c>
      <c r="AY86" s="5"/>
      <c r="AZ86" s="53">
        <f t="shared" si="26"/>
        <v>1</v>
      </c>
      <c r="BA86" s="5"/>
      <c r="BB86" s="5"/>
      <c r="BC86" s="5"/>
    </row>
    <row r="87" ht="12.75" customHeight="1">
      <c r="A87" s="25"/>
      <c r="B87" s="92" t="s">
        <v>192</v>
      </c>
      <c r="C87" s="93"/>
      <c r="D87" s="90">
        <v>30380.43</v>
      </c>
      <c r="E87" s="94" t="s">
        <v>49</v>
      </c>
      <c r="F87" s="91">
        <v>39965.0</v>
      </c>
      <c r="G87" s="32" t="s">
        <v>40</v>
      </c>
      <c r="H87" s="88">
        <v>40788.0</v>
      </c>
      <c r="I87" s="32">
        <f t="shared" si="1"/>
        <v>27.43333333</v>
      </c>
      <c r="J87" s="64" t="s">
        <v>193</v>
      </c>
      <c r="K87" s="70">
        <v>30000.0</v>
      </c>
      <c r="L87" s="65">
        <v>0.0</v>
      </c>
      <c r="M87" s="65">
        <v>0.0</v>
      </c>
      <c r="N87" s="65">
        <v>0.0</v>
      </c>
      <c r="O87" s="65">
        <f t="shared" si="35"/>
        <v>380.43</v>
      </c>
      <c r="P87" s="35">
        <f t="shared" si="3"/>
        <v>380.43</v>
      </c>
      <c r="Q87" s="36">
        <f t="shared" si="4"/>
        <v>0.01252220591</v>
      </c>
      <c r="R87" s="36">
        <f t="shared" si="5"/>
        <v>0.9874777941</v>
      </c>
      <c r="S87" s="37"/>
      <c r="T87" s="5"/>
      <c r="U87" s="54"/>
      <c r="V87" s="55"/>
      <c r="W87" s="55"/>
      <c r="X87" s="56"/>
      <c r="Y87" s="55"/>
      <c r="Z87" s="55"/>
      <c r="AA87" s="57"/>
      <c r="AB87" s="5"/>
      <c r="AC87" s="42">
        <f t="shared" si="6"/>
        <v>1</v>
      </c>
      <c r="AD87" s="3">
        <f t="shared" si="7"/>
        <v>1</v>
      </c>
      <c r="AE87" s="3">
        <f t="shared" si="8"/>
        <v>1</v>
      </c>
      <c r="AF87" s="43">
        <f t="shared" si="9"/>
        <v>0</v>
      </c>
      <c r="AG87" s="44">
        <f t="shared" si="10"/>
        <v>30380.43</v>
      </c>
      <c r="AH87" s="45">
        <f t="shared" si="11"/>
        <v>27.43333333</v>
      </c>
      <c r="AI87" s="46">
        <f t="shared" si="12"/>
        <v>0.006574417825</v>
      </c>
      <c r="AJ87" s="47">
        <f t="shared" si="13"/>
        <v>0.00008232621372</v>
      </c>
      <c r="AK87" s="5"/>
      <c r="AL87" s="42">
        <f t="shared" si="14"/>
        <v>0</v>
      </c>
      <c r="AM87" s="3">
        <f t="shared" si="15"/>
        <v>1</v>
      </c>
      <c r="AN87" s="3">
        <f t="shared" si="16"/>
        <v>0</v>
      </c>
      <c r="AO87" s="3">
        <f t="shared" si="17"/>
        <v>0</v>
      </c>
      <c r="AP87" s="44">
        <f t="shared" si="18"/>
        <v>0</v>
      </c>
      <c r="AQ87" s="48">
        <f t="shared" si="19"/>
        <v>0</v>
      </c>
      <c r="AR87" s="46">
        <f t="shared" si="20"/>
        <v>0</v>
      </c>
      <c r="AS87" s="47">
        <f t="shared" si="21"/>
        <v>0</v>
      </c>
      <c r="AT87" s="5"/>
      <c r="AU87" s="49">
        <f t="shared" si="27"/>
        <v>30380.43</v>
      </c>
      <c r="AV87" s="50">
        <f t="shared" si="23"/>
        <v>1</v>
      </c>
      <c r="AW87" s="51">
        <f t="shared" si="24"/>
        <v>0.002947606117</v>
      </c>
      <c r="AX87" s="52">
        <f t="shared" si="25"/>
        <v>0.00003691053073</v>
      </c>
      <c r="AY87" s="5"/>
      <c r="AZ87" s="53">
        <f t="shared" si="26"/>
        <v>1</v>
      </c>
      <c r="BA87" s="5"/>
      <c r="BB87" s="5"/>
      <c r="BC87" s="5"/>
    </row>
    <row r="88" ht="12.75" customHeight="1">
      <c r="A88" s="25"/>
      <c r="B88" s="27" t="s">
        <v>194</v>
      </c>
      <c r="C88" s="89"/>
      <c r="D88" s="90">
        <v>27303.0</v>
      </c>
      <c r="E88" s="94" t="s">
        <v>39</v>
      </c>
      <c r="F88" s="91">
        <v>39966.0</v>
      </c>
      <c r="G88" s="32" t="s">
        <v>40</v>
      </c>
      <c r="H88" s="88">
        <v>40057.0</v>
      </c>
      <c r="I88" s="32">
        <f t="shared" si="1"/>
        <v>3.033333333</v>
      </c>
      <c r="J88" s="64" t="s">
        <v>195</v>
      </c>
      <c r="K88" s="70">
        <v>27000.0</v>
      </c>
      <c r="L88" s="65">
        <v>324.83</v>
      </c>
      <c r="M88" s="65">
        <f>220.06+338.79+150</f>
        <v>708.85</v>
      </c>
      <c r="N88" s="65">
        <v>118.73</v>
      </c>
      <c r="O88" s="65">
        <f t="shared" si="35"/>
        <v>303</v>
      </c>
      <c r="P88" s="35">
        <f t="shared" si="3"/>
        <v>1455.41</v>
      </c>
      <c r="Q88" s="36">
        <f t="shared" si="4"/>
        <v>0.05330586382</v>
      </c>
      <c r="R88" s="36">
        <f t="shared" si="5"/>
        <v>0.9466941362</v>
      </c>
      <c r="S88" s="37"/>
      <c r="T88" s="5"/>
      <c r="U88" s="54"/>
      <c r="V88" s="55"/>
      <c r="W88" s="55"/>
      <c r="X88" s="56"/>
      <c r="Y88" s="55"/>
      <c r="Z88" s="55"/>
      <c r="AA88" s="57"/>
      <c r="AB88" s="5"/>
      <c r="AC88" s="42">
        <f t="shared" si="6"/>
        <v>0</v>
      </c>
      <c r="AD88" s="3">
        <f t="shared" si="7"/>
        <v>1</v>
      </c>
      <c r="AE88" s="3">
        <f t="shared" si="8"/>
        <v>0</v>
      </c>
      <c r="AF88" s="43">
        <f t="shared" si="9"/>
        <v>0</v>
      </c>
      <c r="AG88" s="44">
        <f t="shared" si="10"/>
        <v>0</v>
      </c>
      <c r="AH88" s="45">
        <f t="shared" si="11"/>
        <v>0</v>
      </c>
      <c r="AI88" s="46">
        <f t="shared" si="12"/>
        <v>0</v>
      </c>
      <c r="AJ88" s="47">
        <f t="shared" si="13"/>
        <v>0</v>
      </c>
      <c r="AK88" s="5"/>
      <c r="AL88" s="42">
        <f t="shared" si="14"/>
        <v>1</v>
      </c>
      <c r="AM88" s="3">
        <f t="shared" si="15"/>
        <v>1</v>
      </c>
      <c r="AN88" s="3">
        <f t="shared" si="16"/>
        <v>1</v>
      </c>
      <c r="AO88" s="3">
        <f t="shared" si="17"/>
        <v>827.58</v>
      </c>
      <c r="AP88" s="44">
        <f t="shared" si="18"/>
        <v>27303</v>
      </c>
      <c r="AQ88" s="48">
        <f t="shared" si="19"/>
        <v>3.033333333</v>
      </c>
      <c r="AR88" s="46">
        <f t="shared" si="20"/>
        <v>0.004789538322</v>
      </c>
      <c r="AS88" s="47">
        <f t="shared" si="21"/>
        <v>0.0002553104776</v>
      </c>
      <c r="AT88" s="5"/>
      <c r="AU88" s="49">
        <f t="shared" si="27"/>
        <v>27303</v>
      </c>
      <c r="AV88" s="50">
        <f t="shared" si="23"/>
        <v>1</v>
      </c>
      <c r="AW88" s="51">
        <f t="shared" si="24"/>
        <v>0.002649024053</v>
      </c>
      <c r="AX88" s="52">
        <f t="shared" si="25"/>
        <v>0.0001412085155</v>
      </c>
      <c r="AY88" s="5"/>
      <c r="AZ88" s="53">
        <f t="shared" si="26"/>
        <v>1</v>
      </c>
      <c r="BA88" s="5"/>
      <c r="BB88" s="5"/>
      <c r="BC88" s="5"/>
    </row>
    <row r="89" ht="12.75" customHeight="1">
      <c r="A89" s="25"/>
      <c r="B89" s="27" t="s">
        <v>196</v>
      </c>
      <c r="C89" s="89"/>
      <c r="D89" s="90">
        <v>12682.0</v>
      </c>
      <c r="E89" s="94" t="s">
        <v>49</v>
      </c>
      <c r="F89" s="91">
        <v>39976.0</v>
      </c>
      <c r="G89" s="88" t="s">
        <v>40</v>
      </c>
      <c r="H89" s="88">
        <v>39976.0</v>
      </c>
      <c r="I89" s="32">
        <f t="shared" si="1"/>
        <v>0</v>
      </c>
      <c r="J89" s="33" t="s">
        <v>129</v>
      </c>
      <c r="K89" s="70">
        <v>13329.34</v>
      </c>
      <c r="L89" s="65">
        <v>0.0</v>
      </c>
      <c r="M89" s="65">
        <v>869.76</v>
      </c>
      <c r="N89" s="65">
        <v>0.0</v>
      </c>
      <c r="O89" s="65">
        <v>0.0</v>
      </c>
      <c r="P89" s="35">
        <f t="shared" si="3"/>
        <v>222.42</v>
      </c>
      <c r="Q89" s="36">
        <f t="shared" si="4"/>
        <v>0.01753824318</v>
      </c>
      <c r="R89" s="36">
        <f t="shared" si="5"/>
        <v>0.9824617568</v>
      </c>
      <c r="S89" s="37"/>
      <c r="T89" s="5"/>
      <c r="U89" s="54"/>
      <c r="V89" s="55"/>
      <c r="W89" s="55"/>
      <c r="X89" s="56"/>
      <c r="Y89" s="55"/>
      <c r="Z89" s="55"/>
      <c r="AA89" s="57"/>
      <c r="AB89" s="5"/>
      <c r="AC89" s="42">
        <f t="shared" si="6"/>
        <v>1</v>
      </c>
      <c r="AD89" s="3">
        <f t="shared" si="7"/>
        <v>1</v>
      </c>
      <c r="AE89" s="3">
        <f t="shared" si="8"/>
        <v>1</v>
      </c>
      <c r="AF89" s="43">
        <f t="shared" si="9"/>
        <v>869.76</v>
      </c>
      <c r="AG89" s="44">
        <f t="shared" si="10"/>
        <v>12682</v>
      </c>
      <c r="AH89" s="45">
        <f t="shared" si="11"/>
        <v>0</v>
      </c>
      <c r="AI89" s="46">
        <f t="shared" si="12"/>
        <v>0.002744423527</v>
      </c>
      <c r="AJ89" s="47">
        <f t="shared" si="13"/>
        <v>0.0000481323672</v>
      </c>
      <c r="AK89" s="5"/>
      <c r="AL89" s="42">
        <f t="shared" si="14"/>
        <v>0</v>
      </c>
      <c r="AM89" s="3">
        <f t="shared" si="15"/>
        <v>1</v>
      </c>
      <c r="AN89" s="3">
        <f t="shared" si="16"/>
        <v>0</v>
      </c>
      <c r="AO89" s="3">
        <f t="shared" si="17"/>
        <v>0</v>
      </c>
      <c r="AP89" s="44">
        <f t="shared" si="18"/>
        <v>0</v>
      </c>
      <c r="AQ89" s="48">
        <f t="shared" si="19"/>
        <v>0</v>
      </c>
      <c r="AR89" s="46">
        <f t="shared" si="20"/>
        <v>0</v>
      </c>
      <c r="AS89" s="47">
        <f t="shared" si="21"/>
        <v>0</v>
      </c>
      <c r="AT89" s="5"/>
      <c r="AU89" s="49">
        <f t="shared" si="27"/>
        <v>12682</v>
      </c>
      <c r="AV89" s="50">
        <f t="shared" si="23"/>
        <v>1</v>
      </c>
      <c r="AW89" s="51">
        <f t="shared" si="24"/>
        <v>0.001230448048</v>
      </c>
      <c r="AX89" s="52">
        <f t="shared" si="25"/>
        <v>0.00002157989708</v>
      </c>
      <c r="AY89" s="5"/>
      <c r="AZ89" s="53">
        <f t="shared" si="26"/>
        <v>1</v>
      </c>
      <c r="BA89" s="5"/>
      <c r="BB89" s="5"/>
      <c r="BC89" s="5"/>
    </row>
    <row r="90" ht="12.75" customHeight="1">
      <c r="A90" s="25"/>
      <c r="B90" s="27" t="s">
        <v>197</v>
      </c>
      <c r="C90" s="89"/>
      <c r="D90" s="90">
        <v>18694.84</v>
      </c>
      <c r="E90" s="94" t="s">
        <v>39</v>
      </c>
      <c r="F90" s="91">
        <v>39995.0</v>
      </c>
      <c r="G90" s="32" t="s">
        <v>40</v>
      </c>
      <c r="H90" s="88">
        <v>40026.0</v>
      </c>
      <c r="I90" s="32">
        <f t="shared" si="1"/>
        <v>1.033333333</v>
      </c>
      <c r="J90" s="64" t="s">
        <v>66</v>
      </c>
      <c r="K90" s="70">
        <v>19000.0</v>
      </c>
      <c r="L90" s="65">
        <f>26.01+5.76+16.17+14.1+42.68+7.76+844.12</f>
        <v>956.6</v>
      </c>
      <c r="M90" s="65">
        <f>64.04+207.64+12.48+12.48</f>
        <v>296.64</v>
      </c>
      <c r="N90" s="65">
        <v>0.0</v>
      </c>
      <c r="O90" s="65">
        <f t="shared" ref="O90:O91" si="36">IF(K90="N/A",0,IF(K90-D90&gt;0,0,D90-K90))</f>
        <v>0</v>
      </c>
      <c r="P90" s="35">
        <f t="shared" si="3"/>
        <v>948.08</v>
      </c>
      <c r="Q90" s="36">
        <f t="shared" si="4"/>
        <v>0.0507134589</v>
      </c>
      <c r="R90" s="36">
        <f t="shared" si="5"/>
        <v>0.9492865411</v>
      </c>
      <c r="S90" s="37"/>
      <c r="T90" s="5"/>
      <c r="U90" s="54"/>
      <c r="V90" s="55"/>
      <c r="W90" s="55"/>
      <c r="X90" s="56"/>
      <c r="Y90" s="55"/>
      <c r="Z90" s="55"/>
      <c r="AA90" s="57"/>
      <c r="AB90" s="5"/>
      <c r="AC90" s="42">
        <f t="shared" si="6"/>
        <v>0</v>
      </c>
      <c r="AD90" s="3">
        <f t="shared" si="7"/>
        <v>1</v>
      </c>
      <c r="AE90" s="3">
        <f t="shared" si="8"/>
        <v>0</v>
      </c>
      <c r="AF90" s="43">
        <f t="shared" si="9"/>
        <v>0</v>
      </c>
      <c r="AG90" s="44">
        <f t="shared" si="10"/>
        <v>0</v>
      </c>
      <c r="AH90" s="45">
        <f t="shared" si="11"/>
        <v>0</v>
      </c>
      <c r="AI90" s="46">
        <f t="shared" si="12"/>
        <v>0</v>
      </c>
      <c r="AJ90" s="47">
        <f t="shared" si="13"/>
        <v>0</v>
      </c>
      <c r="AK90" s="5"/>
      <c r="AL90" s="42">
        <f t="shared" si="14"/>
        <v>1</v>
      </c>
      <c r="AM90" s="3">
        <f t="shared" si="15"/>
        <v>1</v>
      </c>
      <c r="AN90" s="3">
        <f t="shared" si="16"/>
        <v>1</v>
      </c>
      <c r="AO90" s="3">
        <f t="shared" si="17"/>
        <v>296.64</v>
      </c>
      <c r="AP90" s="44">
        <f t="shared" si="18"/>
        <v>18694.84</v>
      </c>
      <c r="AQ90" s="48">
        <f t="shared" si="19"/>
        <v>1.033333333</v>
      </c>
      <c r="AR90" s="46">
        <f t="shared" si="20"/>
        <v>0.003279480372</v>
      </c>
      <c r="AS90" s="47">
        <f t="shared" si="21"/>
        <v>0.0001663137931</v>
      </c>
      <c r="AT90" s="5"/>
      <c r="AU90" s="49">
        <f t="shared" si="27"/>
        <v>18694.84</v>
      </c>
      <c r="AV90" s="50">
        <f t="shared" si="23"/>
        <v>1</v>
      </c>
      <c r="AW90" s="51">
        <f t="shared" si="24"/>
        <v>0.001813832943</v>
      </c>
      <c r="AX90" s="52">
        <f t="shared" si="25"/>
        <v>0.00009198574239</v>
      </c>
      <c r="AY90" s="5"/>
      <c r="AZ90" s="53">
        <f t="shared" si="26"/>
        <v>1</v>
      </c>
      <c r="BA90" s="5"/>
      <c r="BB90" s="5"/>
      <c r="BC90" s="5"/>
    </row>
    <row r="91" ht="12.75" customHeight="1">
      <c r="A91" s="25"/>
      <c r="B91" s="27" t="s">
        <v>198</v>
      </c>
      <c r="C91" s="89"/>
      <c r="D91" s="90">
        <v>13981.18</v>
      </c>
      <c r="E91" s="29" t="s">
        <v>39</v>
      </c>
      <c r="F91" s="91">
        <v>39995.0</v>
      </c>
      <c r="G91" s="32" t="s">
        <v>40</v>
      </c>
      <c r="H91" s="88">
        <v>40057.0</v>
      </c>
      <c r="I91" s="32">
        <f t="shared" si="1"/>
        <v>2.066666667</v>
      </c>
      <c r="J91" s="64" t="s">
        <v>199</v>
      </c>
      <c r="K91" s="70">
        <v>13000.0</v>
      </c>
      <c r="L91" s="65">
        <v>741.38</v>
      </c>
      <c r="M91" s="65">
        <f>306.61+123.55+150</f>
        <v>580.16</v>
      </c>
      <c r="N91" s="65">
        <v>0.0</v>
      </c>
      <c r="O91" s="65">
        <f t="shared" si="36"/>
        <v>981.18</v>
      </c>
      <c r="P91" s="35">
        <f t="shared" si="3"/>
        <v>2302.72</v>
      </c>
      <c r="Q91" s="36">
        <f t="shared" si="4"/>
        <v>0.1647014057</v>
      </c>
      <c r="R91" s="36">
        <f t="shared" si="5"/>
        <v>0.8352985943</v>
      </c>
      <c r="S91" s="37"/>
      <c r="T91" s="5"/>
      <c r="U91" s="54"/>
      <c r="V91" s="55"/>
      <c r="W91" s="55"/>
      <c r="X91" s="56"/>
      <c r="Y91" s="55"/>
      <c r="Z91" s="55"/>
      <c r="AA91" s="57"/>
      <c r="AB91" s="5"/>
      <c r="AC91" s="42">
        <f t="shared" si="6"/>
        <v>0</v>
      </c>
      <c r="AD91" s="3">
        <f t="shared" si="7"/>
        <v>1</v>
      </c>
      <c r="AE91" s="3">
        <f t="shared" si="8"/>
        <v>0</v>
      </c>
      <c r="AF91" s="43">
        <f t="shared" si="9"/>
        <v>0</v>
      </c>
      <c r="AG91" s="44">
        <f t="shared" si="10"/>
        <v>0</v>
      </c>
      <c r="AH91" s="45">
        <f t="shared" si="11"/>
        <v>0</v>
      </c>
      <c r="AI91" s="46">
        <f t="shared" si="12"/>
        <v>0</v>
      </c>
      <c r="AJ91" s="47">
        <f t="shared" si="13"/>
        <v>0</v>
      </c>
      <c r="AK91" s="5"/>
      <c r="AL91" s="42">
        <f t="shared" si="14"/>
        <v>1</v>
      </c>
      <c r="AM91" s="3">
        <f t="shared" si="15"/>
        <v>1</v>
      </c>
      <c r="AN91" s="3">
        <f t="shared" si="16"/>
        <v>1</v>
      </c>
      <c r="AO91" s="3">
        <f t="shared" si="17"/>
        <v>580.16</v>
      </c>
      <c r="AP91" s="44">
        <f t="shared" si="18"/>
        <v>13981.18</v>
      </c>
      <c r="AQ91" s="48">
        <f t="shared" si="19"/>
        <v>2.066666667</v>
      </c>
      <c r="AR91" s="46">
        <f t="shared" si="20"/>
        <v>0.002452602183</v>
      </c>
      <c r="AS91" s="47">
        <f t="shared" si="21"/>
        <v>0.0004039470273</v>
      </c>
      <c r="AT91" s="5"/>
      <c r="AU91" s="49">
        <f t="shared" si="27"/>
        <v>13981.18</v>
      </c>
      <c r="AV91" s="50">
        <f t="shared" si="23"/>
        <v>1</v>
      </c>
      <c r="AW91" s="51">
        <f t="shared" si="24"/>
        <v>0.001356498631</v>
      </c>
      <c r="AX91" s="52">
        <f t="shared" si="25"/>
        <v>0.0002234172314</v>
      </c>
      <c r="AY91" s="5"/>
      <c r="AZ91" s="53">
        <f t="shared" si="26"/>
        <v>1</v>
      </c>
      <c r="BA91" s="5"/>
      <c r="BB91" s="5"/>
      <c r="BC91" s="5"/>
    </row>
    <row r="92" ht="12.75" customHeight="1">
      <c r="A92" s="25"/>
      <c r="B92" s="92" t="s">
        <v>200</v>
      </c>
      <c r="C92" s="93"/>
      <c r="D92" s="90">
        <v>52832.86</v>
      </c>
      <c r="E92" s="94" t="s">
        <v>49</v>
      </c>
      <c r="F92" s="91">
        <v>39995.0</v>
      </c>
      <c r="G92" s="32" t="s">
        <v>40</v>
      </c>
      <c r="H92" s="88">
        <v>40522.0</v>
      </c>
      <c r="I92" s="32">
        <f t="shared" si="1"/>
        <v>17.56666667</v>
      </c>
      <c r="J92" s="64" t="s">
        <v>49</v>
      </c>
      <c r="K92" s="70">
        <v>55000.0</v>
      </c>
      <c r="L92" s="65">
        <f>3184.51+3.08+6.5+12.5+31.92+10.64+48.08</f>
        <v>3297.23</v>
      </c>
      <c r="M92" s="65">
        <f>238.81+1056.65</f>
        <v>1295.46</v>
      </c>
      <c r="N92" s="65">
        <f>511.02+44+37.85+55.55+1.8+4.57+22</f>
        <v>676.79</v>
      </c>
      <c r="O92" s="65">
        <v>4544.53</v>
      </c>
      <c r="P92" s="35">
        <f t="shared" si="3"/>
        <v>3102.34</v>
      </c>
      <c r="Q92" s="36">
        <f t="shared" si="4"/>
        <v>0.05871989516</v>
      </c>
      <c r="R92" s="36">
        <f t="shared" si="5"/>
        <v>0.9412801048</v>
      </c>
      <c r="S92" s="37"/>
      <c r="T92" s="5"/>
      <c r="U92" s="54"/>
      <c r="V92" s="55"/>
      <c r="W92" s="55"/>
      <c r="X92" s="56"/>
      <c r="Y92" s="55"/>
      <c r="Z92" s="55"/>
      <c r="AA92" s="57"/>
      <c r="AB92" s="5"/>
      <c r="AC92" s="42">
        <f t="shared" si="6"/>
        <v>1</v>
      </c>
      <c r="AD92" s="3">
        <f t="shared" si="7"/>
        <v>1</v>
      </c>
      <c r="AE92" s="3">
        <f t="shared" si="8"/>
        <v>1</v>
      </c>
      <c r="AF92" s="43">
        <f t="shared" si="9"/>
        <v>1972.25</v>
      </c>
      <c r="AG92" s="44">
        <f t="shared" si="10"/>
        <v>52832.86</v>
      </c>
      <c r="AH92" s="45">
        <f t="shared" si="11"/>
        <v>17.56666667</v>
      </c>
      <c r="AI92" s="46">
        <f t="shared" si="12"/>
        <v>0.01143319224</v>
      </c>
      <c r="AJ92" s="47">
        <f t="shared" si="13"/>
        <v>0.0006713558496</v>
      </c>
      <c r="AK92" s="5"/>
      <c r="AL92" s="42">
        <f t="shared" si="14"/>
        <v>0</v>
      </c>
      <c r="AM92" s="3">
        <f t="shared" si="15"/>
        <v>1</v>
      </c>
      <c r="AN92" s="3">
        <f t="shared" si="16"/>
        <v>0</v>
      </c>
      <c r="AO92" s="3">
        <f t="shared" si="17"/>
        <v>0</v>
      </c>
      <c r="AP92" s="44">
        <f t="shared" si="18"/>
        <v>0</v>
      </c>
      <c r="AQ92" s="48">
        <f t="shared" si="19"/>
        <v>0</v>
      </c>
      <c r="AR92" s="46">
        <f t="shared" si="20"/>
        <v>0</v>
      </c>
      <c r="AS92" s="47">
        <f t="shared" si="21"/>
        <v>0</v>
      </c>
      <c r="AT92" s="5"/>
      <c r="AU92" s="49">
        <f t="shared" si="27"/>
        <v>52832.86</v>
      </c>
      <c r="AV92" s="50">
        <f t="shared" si="23"/>
        <v>1</v>
      </c>
      <c r="AW92" s="51">
        <f t="shared" si="24"/>
        <v>0.005126012414</v>
      </c>
      <c r="AX92" s="52">
        <f t="shared" si="25"/>
        <v>0.0003009989115</v>
      </c>
      <c r="AY92" s="5"/>
      <c r="AZ92" s="53">
        <f t="shared" si="26"/>
        <v>1</v>
      </c>
      <c r="BA92" s="5"/>
      <c r="BB92" s="5"/>
      <c r="BC92" s="5"/>
    </row>
    <row r="93" ht="12.75" customHeight="1">
      <c r="A93" s="25"/>
      <c r="B93" s="92" t="s">
        <v>201</v>
      </c>
      <c r="C93" s="93"/>
      <c r="D93" s="90">
        <v>15518.92</v>
      </c>
      <c r="E93" s="94" t="s">
        <v>49</v>
      </c>
      <c r="F93" s="91">
        <v>39995.0</v>
      </c>
      <c r="G93" s="32" t="s">
        <v>40</v>
      </c>
      <c r="H93" s="88">
        <v>40998.0</v>
      </c>
      <c r="I93" s="32">
        <f t="shared" si="1"/>
        <v>33.43333333</v>
      </c>
      <c r="J93" s="64" t="s">
        <v>129</v>
      </c>
      <c r="K93" s="70">
        <v>16556.0</v>
      </c>
      <c r="L93" s="65">
        <f>75.92+11.46+1124.81</f>
        <v>1212.19</v>
      </c>
      <c r="M93" s="65">
        <f>1491.48+1991.69+11.46</f>
        <v>3494.63</v>
      </c>
      <c r="N93" s="65">
        <f>365.37+8.31+8.33+112.5+144.44+137.5</f>
        <v>776.45</v>
      </c>
      <c r="O93" s="65">
        <f t="shared" ref="O93:O103" si="37">IF(K93="N/A",0,IF(K93-D93&gt;0,0,D93-K93))</f>
        <v>0</v>
      </c>
      <c r="P93" s="35">
        <f t="shared" si="3"/>
        <v>4446.19</v>
      </c>
      <c r="Q93" s="36">
        <f t="shared" si="4"/>
        <v>0.2865012514</v>
      </c>
      <c r="R93" s="36">
        <f t="shared" si="5"/>
        <v>0.7134987486</v>
      </c>
      <c r="S93" s="37"/>
      <c r="T93" s="5"/>
      <c r="U93" s="54"/>
      <c r="V93" s="55"/>
      <c r="W93" s="55"/>
      <c r="X93" s="56"/>
      <c r="Y93" s="55"/>
      <c r="Z93" s="55"/>
      <c r="AA93" s="57"/>
      <c r="AB93" s="5"/>
      <c r="AC93" s="42">
        <f t="shared" si="6"/>
        <v>1</v>
      </c>
      <c r="AD93" s="3">
        <f t="shared" si="7"/>
        <v>1</v>
      </c>
      <c r="AE93" s="3">
        <f t="shared" si="8"/>
        <v>1</v>
      </c>
      <c r="AF93" s="43">
        <f t="shared" si="9"/>
        <v>4271.08</v>
      </c>
      <c r="AG93" s="44">
        <f t="shared" si="10"/>
        <v>15518.92</v>
      </c>
      <c r="AH93" s="45">
        <f t="shared" si="11"/>
        <v>33.43333333</v>
      </c>
      <c r="AI93" s="46">
        <f t="shared" si="12"/>
        <v>0.003358341678</v>
      </c>
      <c r="AJ93" s="47">
        <f t="shared" si="13"/>
        <v>0.0009621690933</v>
      </c>
      <c r="AK93" s="5"/>
      <c r="AL93" s="42">
        <f t="shared" si="14"/>
        <v>0</v>
      </c>
      <c r="AM93" s="3">
        <f t="shared" si="15"/>
        <v>1</v>
      </c>
      <c r="AN93" s="3">
        <f t="shared" si="16"/>
        <v>0</v>
      </c>
      <c r="AO93" s="3">
        <f t="shared" si="17"/>
        <v>0</v>
      </c>
      <c r="AP93" s="44">
        <f t="shared" si="18"/>
        <v>0</v>
      </c>
      <c r="AQ93" s="48">
        <f t="shared" si="19"/>
        <v>0</v>
      </c>
      <c r="AR93" s="46">
        <f t="shared" si="20"/>
        <v>0</v>
      </c>
      <c r="AS93" s="47">
        <f t="shared" si="21"/>
        <v>0</v>
      </c>
      <c r="AT93" s="5"/>
      <c r="AU93" s="49">
        <f t="shared" si="27"/>
        <v>15518.92</v>
      </c>
      <c r="AV93" s="50">
        <f t="shared" si="23"/>
        <v>1</v>
      </c>
      <c r="AW93" s="51">
        <f t="shared" si="24"/>
        <v>0.001505695065</v>
      </c>
      <c r="AX93" s="52">
        <f t="shared" si="25"/>
        <v>0.0004313835203</v>
      </c>
      <c r="AY93" s="5"/>
      <c r="AZ93" s="53">
        <f t="shared" si="26"/>
        <v>1</v>
      </c>
      <c r="BA93" s="5"/>
      <c r="BB93" s="5"/>
      <c r="BC93" s="5"/>
    </row>
    <row r="94" ht="12.75" customHeight="1">
      <c r="A94" s="25"/>
      <c r="B94" s="27" t="s">
        <v>202</v>
      </c>
      <c r="C94" s="89"/>
      <c r="D94" s="90">
        <v>38880.31</v>
      </c>
      <c r="E94" s="94" t="s">
        <v>49</v>
      </c>
      <c r="F94" s="91">
        <v>39995.0</v>
      </c>
      <c r="G94" s="32" t="s">
        <v>40</v>
      </c>
      <c r="H94" s="88" t="s">
        <v>129</v>
      </c>
      <c r="I94" s="32" t="str">
        <f t="shared" si="1"/>
        <v>N/A</v>
      </c>
      <c r="J94" s="64" t="s">
        <v>129</v>
      </c>
      <c r="K94" s="101" t="s">
        <v>129</v>
      </c>
      <c r="L94" s="65">
        <f>8.36+39+6.69+1787.7</f>
        <v>1841.75</v>
      </c>
      <c r="M94" s="65">
        <f>522.25+217.07+270.7+522.25+15.05</f>
        <v>1547.32</v>
      </c>
      <c r="N94" s="65">
        <f>16.67+30.76+7.5+18.53+246.03+23.17</f>
        <v>342.66</v>
      </c>
      <c r="O94" s="65">
        <f t="shared" si="37"/>
        <v>0</v>
      </c>
      <c r="P94" s="35">
        <f t="shared" si="3"/>
        <v>0</v>
      </c>
      <c r="Q94" s="36" t="str">
        <f t="shared" si="4"/>
        <v>N/A</v>
      </c>
      <c r="R94" s="36" t="str">
        <f t="shared" si="5"/>
        <v>N/A</v>
      </c>
      <c r="S94" s="37"/>
      <c r="T94" s="5"/>
      <c r="U94" s="54"/>
      <c r="V94" s="55"/>
      <c r="W94" s="55"/>
      <c r="X94" s="56">
        <v>0.0675</v>
      </c>
      <c r="Y94" s="55"/>
      <c r="Z94" s="55"/>
      <c r="AA94" s="57"/>
      <c r="AB94" s="5"/>
      <c r="AC94" s="42">
        <f t="shared" si="6"/>
        <v>1</v>
      </c>
      <c r="AD94" s="3">
        <f t="shared" si="7"/>
        <v>0</v>
      </c>
      <c r="AE94" s="3">
        <f t="shared" si="8"/>
        <v>0</v>
      </c>
      <c r="AF94" s="43">
        <f t="shared" si="9"/>
        <v>0</v>
      </c>
      <c r="AG94" s="44">
        <f t="shared" si="10"/>
        <v>0</v>
      </c>
      <c r="AH94" s="45">
        <f t="shared" si="11"/>
        <v>0</v>
      </c>
      <c r="AI94" s="46">
        <f t="shared" si="12"/>
        <v>0</v>
      </c>
      <c r="AJ94" s="47">
        <f t="shared" si="13"/>
        <v>0</v>
      </c>
      <c r="AK94" s="5"/>
      <c r="AL94" s="42">
        <f t="shared" si="14"/>
        <v>0</v>
      </c>
      <c r="AM94" s="3">
        <f t="shared" si="15"/>
        <v>0</v>
      </c>
      <c r="AN94" s="3">
        <f t="shared" si="16"/>
        <v>0</v>
      </c>
      <c r="AO94" s="3">
        <f t="shared" si="17"/>
        <v>0</v>
      </c>
      <c r="AP94" s="44">
        <f t="shared" si="18"/>
        <v>0</v>
      </c>
      <c r="AQ94" s="48">
        <f t="shared" si="19"/>
        <v>0</v>
      </c>
      <c r="AR94" s="46">
        <f t="shared" si="20"/>
        <v>0</v>
      </c>
      <c r="AS94" s="47">
        <f t="shared" si="21"/>
        <v>0</v>
      </c>
      <c r="AT94" s="5"/>
      <c r="AU94" s="49">
        <f t="shared" si="27"/>
        <v>0</v>
      </c>
      <c r="AV94" s="50">
        <f t="shared" si="23"/>
        <v>0</v>
      </c>
      <c r="AW94" s="51">
        <f t="shared" si="24"/>
        <v>0</v>
      </c>
      <c r="AX94" s="52">
        <f t="shared" si="25"/>
        <v>0</v>
      </c>
      <c r="AY94" s="5"/>
      <c r="AZ94" s="53">
        <f t="shared" si="26"/>
        <v>1</v>
      </c>
      <c r="BA94" s="5"/>
      <c r="BB94" s="5"/>
      <c r="BC94" s="5"/>
    </row>
    <row r="95" ht="12.75" customHeight="1">
      <c r="A95" s="25"/>
      <c r="B95" s="27" t="s">
        <v>203</v>
      </c>
      <c r="C95" s="89"/>
      <c r="D95" s="90">
        <v>13402.9</v>
      </c>
      <c r="E95" s="94" t="s">
        <v>39</v>
      </c>
      <c r="F95" s="91">
        <v>40026.0</v>
      </c>
      <c r="G95" s="32" t="s">
        <v>40</v>
      </c>
      <c r="H95" s="88">
        <v>40057.0</v>
      </c>
      <c r="I95" s="32">
        <f t="shared" si="1"/>
        <v>1.033333333</v>
      </c>
      <c r="J95" s="33" t="s">
        <v>204</v>
      </c>
      <c r="K95" s="70">
        <v>13000.0</v>
      </c>
      <c r="L95" s="65">
        <f>19.89+4.41+25.95+10.89+39+5.64+344.34</f>
        <v>450.12</v>
      </c>
      <c r="M95" s="65">
        <f>335.12+62.37+8.86</f>
        <v>406.35</v>
      </c>
      <c r="N95" s="65">
        <v>0.0</v>
      </c>
      <c r="O95" s="65">
        <f t="shared" si="37"/>
        <v>402.9</v>
      </c>
      <c r="P95" s="35">
        <f t="shared" si="3"/>
        <v>1259.37</v>
      </c>
      <c r="Q95" s="36">
        <f t="shared" si="4"/>
        <v>0.09396250065</v>
      </c>
      <c r="R95" s="36">
        <f t="shared" si="5"/>
        <v>0.9060374993</v>
      </c>
      <c r="S95" s="37"/>
      <c r="T95" s="5"/>
      <c r="U95" s="54"/>
      <c r="V95" s="55"/>
      <c r="W95" s="55"/>
      <c r="X95" s="56"/>
      <c r="Y95" s="55"/>
      <c r="Z95" s="55"/>
      <c r="AA95" s="57"/>
      <c r="AB95" s="5"/>
      <c r="AC95" s="42">
        <f t="shared" si="6"/>
        <v>0</v>
      </c>
      <c r="AD95" s="3">
        <f t="shared" si="7"/>
        <v>1</v>
      </c>
      <c r="AE95" s="3">
        <f t="shared" si="8"/>
        <v>0</v>
      </c>
      <c r="AF95" s="43">
        <f t="shared" si="9"/>
        <v>0</v>
      </c>
      <c r="AG95" s="44">
        <f t="shared" si="10"/>
        <v>0</v>
      </c>
      <c r="AH95" s="45">
        <f t="shared" si="11"/>
        <v>0</v>
      </c>
      <c r="AI95" s="46">
        <f t="shared" si="12"/>
        <v>0</v>
      </c>
      <c r="AJ95" s="47">
        <f t="shared" si="13"/>
        <v>0</v>
      </c>
      <c r="AK95" s="5"/>
      <c r="AL95" s="42">
        <f t="shared" si="14"/>
        <v>1</v>
      </c>
      <c r="AM95" s="3">
        <f t="shared" si="15"/>
        <v>1</v>
      </c>
      <c r="AN95" s="3">
        <f t="shared" si="16"/>
        <v>1</v>
      </c>
      <c r="AO95" s="3">
        <f t="shared" si="17"/>
        <v>406.35</v>
      </c>
      <c r="AP95" s="44">
        <f t="shared" si="18"/>
        <v>13402.9</v>
      </c>
      <c r="AQ95" s="48">
        <f t="shared" si="19"/>
        <v>1.033333333</v>
      </c>
      <c r="AR95" s="46">
        <f t="shared" si="20"/>
        <v>0.00235115933</v>
      </c>
      <c r="AS95" s="47">
        <f t="shared" si="21"/>
        <v>0.00022092081</v>
      </c>
      <c r="AT95" s="5"/>
      <c r="AU95" s="49">
        <f t="shared" si="27"/>
        <v>13402.9</v>
      </c>
      <c r="AV95" s="50">
        <f t="shared" si="23"/>
        <v>1</v>
      </c>
      <c r="AW95" s="51">
        <f t="shared" si="24"/>
        <v>0.001300392063</v>
      </c>
      <c r="AX95" s="52">
        <f t="shared" si="25"/>
        <v>0.00012218809</v>
      </c>
      <c r="AY95" s="5"/>
      <c r="AZ95" s="53">
        <f t="shared" si="26"/>
        <v>1</v>
      </c>
      <c r="BA95" s="5"/>
      <c r="BB95" s="5"/>
      <c r="BC95" s="5"/>
    </row>
    <row r="96" ht="12.75" customHeight="1">
      <c r="A96" s="69"/>
      <c r="B96" s="27" t="s">
        <v>205</v>
      </c>
      <c r="C96" s="89"/>
      <c r="D96" s="90">
        <v>12485.17</v>
      </c>
      <c r="E96" s="94" t="s">
        <v>39</v>
      </c>
      <c r="F96" s="91">
        <v>40026.0</v>
      </c>
      <c r="G96" s="32" t="s">
        <v>40</v>
      </c>
      <c r="H96" s="88">
        <v>40057.0</v>
      </c>
      <c r="I96" s="32">
        <f t="shared" si="1"/>
        <v>1.033333333</v>
      </c>
      <c r="J96" s="64" t="s">
        <v>206</v>
      </c>
      <c r="K96" s="70">
        <v>12000.0</v>
      </c>
      <c r="L96" s="65">
        <v>491.36</v>
      </c>
      <c r="M96" s="65">
        <f>102.64+29.3</f>
        <v>131.94</v>
      </c>
      <c r="N96" s="65">
        <v>0.0</v>
      </c>
      <c r="O96" s="65">
        <f t="shared" si="37"/>
        <v>485.17</v>
      </c>
      <c r="P96" s="35">
        <f t="shared" si="3"/>
        <v>1108.47</v>
      </c>
      <c r="Q96" s="36">
        <f t="shared" si="4"/>
        <v>0.08878293207</v>
      </c>
      <c r="R96" s="36">
        <f t="shared" si="5"/>
        <v>0.9112170679</v>
      </c>
      <c r="S96" s="37"/>
      <c r="T96" s="5"/>
      <c r="U96" s="54"/>
      <c r="V96" s="55"/>
      <c r="W96" s="55"/>
      <c r="X96" s="56"/>
      <c r="Y96" s="55"/>
      <c r="Z96" s="55"/>
      <c r="AA96" s="57"/>
      <c r="AB96" s="5"/>
      <c r="AC96" s="42">
        <f t="shared" si="6"/>
        <v>0</v>
      </c>
      <c r="AD96" s="3">
        <f t="shared" si="7"/>
        <v>1</v>
      </c>
      <c r="AE96" s="3">
        <f t="shared" si="8"/>
        <v>0</v>
      </c>
      <c r="AF96" s="43">
        <f t="shared" si="9"/>
        <v>0</v>
      </c>
      <c r="AG96" s="44">
        <f t="shared" si="10"/>
        <v>0</v>
      </c>
      <c r="AH96" s="45">
        <f t="shared" si="11"/>
        <v>0</v>
      </c>
      <c r="AI96" s="46">
        <f t="shared" si="12"/>
        <v>0</v>
      </c>
      <c r="AJ96" s="47">
        <f t="shared" si="13"/>
        <v>0</v>
      </c>
      <c r="AK96" s="5"/>
      <c r="AL96" s="42">
        <f t="shared" si="14"/>
        <v>1</v>
      </c>
      <c r="AM96" s="3">
        <f t="shared" si="15"/>
        <v>1</v>
      </c>
      <c r="AN96" s="3">
        <f t="shared" si="16"/>
        <v>1</v>
      </c>
      <c r="AO96" s="3">
        <f t="shared" si="17"/>
        <v>131.94</v>
      </c>
      <c r="AP96" s="44">
        <f t="shared" si="18"/>
        <v>12485.17</v>
      </c>
      <c r="AQ96" s="48">
        <f t="shared" si="19"/>
        <v>1.033333333</v>
      </c>
      <c r="AR96" s="46">
        <f t="shared" si="20"/>
        <v>0.002190169585</v>
      </c>
      <c r="AS96" s="47">
        <f t="shared" si="21"/>
        <v>0.0001944496775</v>
      </c>
      <c r="AT96" s="5"/>
      <c r="AU96" s="49">
        <f t="shared" si="27"/>
        <v>12485.17</v>
      </c>
      <c r="AV96" s="50">
        <f t="shared" si="23"/>
        <v>1</v>
      </c>
      <c r="AW96" s="51">
        <f t="shared" si="24"/>
        <v>0.001211350974</v>
      </c>
      <c r="AX96" s="52">
        <f t="shared" si="25"/>
        <v>0.0001075472912</v>
      </c>
      <c r="AY96" s="5"/>
      <c r="AZ96" s="53">
        <f t="shared" si="26"/>
        <v>1</v>
      </c>
      <c r="BA96" s="5"/>
      <c r="BB96" s="5"/>
      <c r="BC96" s="5"/>
    </row>
    <row r="97" ht="12.75" customHeight="1">
      <c r="A97" s="25"/>
      <c r="B97" s="92" t="s">
        <v>207</v>
      </c>
      <c r="C97" s="93"/>
      <c r="D97" s="90">
        <v>49429.91</v>
      </c>
      <c r="E97" s="94" t="s">
        <v>49</v>
      </c>
      <c r="F97" s="91">
        <v>40026.0</v>
      </c>
      <c r="G97" s="32" t="s">
        <v>40</v>
      </c>
      <c r="H97" s="88">
        <v>40087.0</v>
      </c>
      <c r="I97" s="32">
        <f t="shared" si="1"/>
        <v>2.033333333</v>
      </c>
      <c r="J97" s="64" t="s">
        <v>208</v>
      </c>
      <c r="K97" s="70">
        <v>57000.0</v>
      </c>
      <c r="L97" s="65">
        <v>1560.23</v>
      </c>
      <c r="M97" s="65">
        <v>2644.12</v>
      </c>
      <c r="N97" s="65">
        <v>0.0</v>
      </c>
      <c r="O97" s="65">
        <f t="shared" si="37"/>
        <v>0</v>
      </c>
      <c r="P97" s="35">
        <f t="shared" si="3"/>
        <v>0</v>
      </c>
      <c r="Q97" s="36">
        <f t="shared" si="4"/>
        <v>0</v>
      </c>
      <c r="R97" s="36">
        <f t="shared" si="5"/>
        <v>1</v>
      </c>
      <c r="S97" s="37"/>
      <c r="T97" s="5"/>
      <c r="U97" s="54"/>
      <c r="V97" s="55"/>
      <c r="W97" s="55"/>
      <c r="X97" s="56"/>
      <c r="Y97" s="55"/>
      <c r="Z97" s="55"/>
      <c r="AA97" s="57"/>
      <c r="AB97" s="5"/>
      <c r="AC97" s="42">
        <f t="shared" si="6"/>
        <v>1</v>
      </c>
      <c r="AD97" s="3">
        <f t="shared" si="7"/>
        <v>1</v>
      </c>
      <c r="AE97" s="3">
        <f t="shared" si="8"/>
        <v>1</v>
      </c>
      <c r="AF97" s="43">
        <f t="shared" si="9"/>
        <v>2644.12</v>
      </c>
      <c r="AG97" s="44">
        <f t="shared" si="10"/>
        <v>49429.91</v>
      </c>
      <c r="AH97" s="45">
        <f t="shared" si="11"/>
        <v>2.033333333</v>
      </c>
      <c r="AI97" s="46">
        <f t="shared" si="12"/>
        <v>0.01069678347</v>
      </c>
      <c r="AJ97" s="47">
        <f t="shared" si="13"/>
        <v>0</v>
      </c>
      <c r="AK97" s="5"/>
      <c r="AL97" s="42">
        <f t="shared" si="14"/>
        <v>0</v>
      </c>
      <c r="AM97" s="3">
        <f t="shared" si="15"/>
        <v>1</v>
      </c>
      <c r="AN97" s="3">
        <f t="shared" si="16"/>
        <v>0</v>
      </c>
      <c r="AO97" s="3">
        <f t="shared" si="17"/>
        <v>0</v>
      </c>
      <c r="AP97" s="44">
        <f t="shared" si="18"/>
        <v>0</v>
      </c>
      <c r="AQ97" s="48">
        <f t="shared" si="19"/>
        <v>0</v>
      </c>
      <c r="AR97" s="46">
        <f t="shared" si="20"/>
        <v>0</v>
      </c>
      <c r="AS97" s="47">
        <f t="shared" si="21"/>
        <v>0</v>
      </c>
      <c r="AT97" s="5"/>
      <c r="AU97" s="49">
        <f t="shared" si="27"/>
        <v>49429.91</v>
      </c>
      <c r="AV97" s="50">
        <f t="shared" si="23"/>
        <v>1</v>
      </c>
      <c r="AW97" s="51">
        <f t="shared" si="24"/>
        <v>0.004795847363</v>
      </c>
      <c r="AX97" s="52">
        <f t="shared" si="25"/>
        <v>0</v>
      </c>
      <c r="AY97" s="5"/>
      <c r="AZ97" s="53">
        <f t="shared" si="26"/>
        <v>1</v>
      </c>
      <c r="BA97" s="5"/>
      <c r="BB97" s="5"/>
      <c r="BC97" s="5"/>
    </row>
    <row r="98" ht="12.75" customHeight="1">
      <c r="A98" s="25"/>
      <c r="B98" s="27" t="s">
        <v>209</v>
      </c>
      <c r="C98" s="89"/>
      <c r="D98" s="90">
        <v>11954.92</v>
      </c>
      <c r="E98" s="94" t="s">
        <v>39</v>
      </c>
      <c r="F98" s="91">
        <v>40026.0</v>
      </c>
      <c r="G98" s="32" t="s">
        <v>40</v>
      </c>
      <c r="H98" s="88">
        <v>40118.0</v>
      </c>
      <c r="I98" s="32">
        <f t="shared" si="1"/>
        <v>3.066666667</v>
      </c>
      <c r="J98" s="64" t="s">
        <v>129</v>
      </c>
      <c r="K98" s="70">
        <v>11700.0</v>
      </c>
      <c r="L98" s="65">
        <v>694.85</v>
      </c>
      <c r="M98" s="65">
        <f>98.08+60.92+49.58+750</f>
        <v>958.58</v>
      </c>
      <c r="N98" s="65">
        <v>0.0</v>
      </c>
      <c r="O98" s="65">
        <f t="shared" si="37"/>
        <v>254.92</v>
      </c>
      <c r="P98" s="35">
        <f t="shared" si="3"/>
        <v>1908.35</v>
      </c>
      <c r="Q98" s="36">
        <f t="shared" si="4"/>
        <v>0.159628839</v>
      </c>
      <c r="R98" s="36">
        <f t="shared" si="5"/>
        <v>0.840371161</v>
      </c>
      <c r="S98" s="37"/>
      <c r="T98" s="5"/>
      <c r="U98" s="54"/>
      <c r="V98" s="55"/>
      <c r="W98" s="55"/>
      <c r="X98" s="56"/>
      <c r="Y98" s="55"/>
      <c r="Z98" s="55"/>
      <c r="AA98" s="57"/>
      <c r="AB98" s="5"/>
      <c r="AC98" s="42">
        <f t="shared" si="6"/>
        <v>0</v>
      </c>
      <c r="AD98" s="3">
        <f t="shared" si="7"/>
        <v>1</v>
      </c>
      <c r="AE98" s="3">
        <f t="shared" si="8"/>
        <v>0</v>
      </c>
      <c r="AF98" s="43">
        <f t="shared" si="9"/>
        <v>0</v>
      </c>
      <c r="AG98" s="44">
        <f t="shared" si="10"/>
        <v>0</v>
      </c>
      <c r="AH98" s="45">
        <f t="shared" si="11"/>
        <v>0</v>
      </c>
      <c r="AI98" s="46">
        <f t="shared" si="12"/>
        <v>0</v>
      </c>
      <c r="AJ98" s="47">
        <f t="shared" si="13"/>
        <v>0</v>
      </c>
      <c r="AK98" s="5"/>
      <c r="AL98" s="42">
        <f t="shared" si="14"/>
        <v>1</v>
      </c>
      <c r="AM98" s="3">
        <f t="shared" si="15"/>
        <v>1</v>
      </c>
      <c r="AN98" s="3">
        <f t="shared" si="16"/>
        <v>1</v>
      </c>
      <c r="AO98" s="3">
        <f t="shared" si="17"/>
        <v>958.58</v>
      </c>
      <c r="AP98" s="44">
        <f t="shared" si="18"/>
        <v>11954.92</v>
      </c>
      <c r="AQ98" s="48">
        <f t="shared" si="19"/>
        <v>3.066666667</v>
      </c>
      <c r="AR98" s="46">
        <f t="shared" si="20"/>
        <v>0.002097152235</v>
      </c>
      <c r="AS98" s="47">
        <f t="shared" si="21"/>
        <v>0.0003347659765</v>
      </c>
      <c r="AT98" s="5"/>
      <c r="AU98" s="49">
        <f t="shared" si="27"/>
        <v>11954.92</v>
      </c>
      <c r="AV98" s="50">
        <f t="shared" si="23"/>
        <v>1</v>
      </c>
      <c r="AW98" s="51">
        <f t="shared" si="24"/>
        <v>0.001159904429</v>
      </c>
      <c r="AX98" s="52">
        <f t="shared" si="25"/>
        <v>0.0001851541974</v>
      </c>
      <c r="AY98" s="5"/>
      <c r="AZ98" s="53">
        <f t="shared" si="26"/>
        <v>1</v>
      </c>
      <c r="BA98" s="5"/>
      <c r="BB98" s="5"/>
      <c r="BC98" s="5"/>
    </row>
    <row r="99" ht="12.75" customHeight="1">
      <c r="A99" s="25"/>
      <c r="B99" s="27" t="s">
        <v>210</v>
      </c>
      <c r="C99" s="89"/>
      <c r="D99" s="90">
        <v>17677.39</v>
      </c>
      <c r="E99" s="94" t="s">
        <v>39</v>
      </c>
      <c r="F99" s="91">
        <v>40026.0</v>
      </c>
      <c r="G99" s="32" t="s">
        <v>40</v>
      </c>
      <c r="H99" s="88">
        <v>40544.0</v>
      </c>
      <c r="I99" s="32">
        <f t="shared" si="1"/>
        <v>17.26666667</v>
      </c>
      <c r="J99" s="64" t="s">
        <v>129</v>
      </c>
      <c r="K99" s="70">
        <v>12000.0</v>
      </c>
      <c r="L99" s="65">
        <v>1208.29</v>
      </c>
      <c r="M99" s="65">
        <f>276.94+122.84</f>
        <v>399.78</v>
      </c>
      <c r="N99" s="65">
        <f>23.44+60+111.11+6.66+0.73+26.67</f>
        <v>228.61</v>
      </c>
      <c r="O99" s="65">
        <f t="shared" si="37"/>
        <v>5677.39</v>
      </c>
      <c r="P99" s="35">
        <f t="shared" si="3"/>
        <v>7514.07</v>
      </c>
      <c r="Q99" s="36">
        <f t="shared" si="4"/>
        <v>0.4250667095</v>
      </c>
      <c r="R99" s="36">
        <f t="shared" si="5"/>
        <v>0.5749332905</v>
      </c>
      <c r="S99" s="37"/>
      <c r="T99" s="5"/>
      <c r="U99" s="54"/>
      <c r="V99" s="55"/>
      <c r="W99" s="55"/>
      <c r="X99" s="56"/>
      <c r="Y99" s="55"/>
      <c r="Z99" s="55"/>
      <c r="AA99" s="57"/>
      <c r="AB99" s="5"/>
      <c r="AC99" s="42">
        <f t="shared" si="6"/>
        <v>0</v>
      </c>
      <c r="AD99" s="3">
        <f t="shared" si="7"/>
        <v>1</v>
      </c>
      <c r="AE99" s="3">
        <f t="shared" si="8"/>
        <v>0</v>
      </c>
      <c r="AF99" s="43">
        <f t="shared" si="9"/>
        <v>0</v>
      </c>
      <c r="AG99" s="44">
        <f t="shared" si="10"/>
        <v>0</v>
      </c>
      <c r="AH99" s="45">
        <f t="shared" si="11"/>
        <v>0</v>
      </c>
      <c r="AI99" s="46">
        <f t="shared" si="12"/>
        <v>0</v>
      </c>
      <c r="AJ99" s="47">
        <f t="shared" si="13"/>
        <v>0</v>
      </c>
      <c r="AK99" s="5"/>
      <c r="AL99" s="42">
        <f t="shared" si="14"/>
        <v>1</v>
      </c>
      <c r="AM99" s="3">
        <f t="shared" si="15"/>
        <v>1</v>
      </c>
      <c r="AN99" s="3">
        <f t="shared" si="16"/>
        <v>1</v>
      </c>
      <c r="AO99" s="3">
        <f t="shared" si="17"/>
        <v>628.39</v>
      </c>
      <c r="AP99" s="44">
        <f t="shared" si="18"/>
        <v>17677.39</v>
      </c>
      <c r="AQ99" s="48">
        <f t="shared" si="19"/>
        <v>17.26666667</v>
      </c>
      <c r="AR99" s="46">
        <f t="shared" si="20"/>
        <v>0.003100997577</v>
      </c>
      <c r="AS99" s="47">
        <f t="shared" si="21"/>
        <v>0.001318130836</v>
      </c>
      <c r="AT99" s="5"/>
      <c r="AU99" s="49">
        <f t="shared" si="27"/>
        <v>17677.39</v>
      </c>
      <c r="AV99" s="50">
        <f t="shared" si="23"/>
        <v>1</v>
      </c>
      <c r="AW99" s="51">
        <f t="shared" si="24"/>
        <v>0.001715116702</v>
      </c>
      <c r="AX99" s="52">
        <f t="shared" si="25"/>
        <v>0.0007290390129</v>
      </c>
      <c r="AY99" s="5"/>
      <c r="AZ99" s="53">
        <f t="shared" si="26"/>
        <v>1</v>
      </c>
      <c r="BA99" s="5"/>
      <c r="BB99" s="5"/>
      <c r="BC99" s="5"/>
    </row>
    <row r="100" ht="12.75" customHeight="1">
      <c r="A100" s="25"/>
      <c r="B100" s="95" t="s">
        <v>211</v>
      </c>
      <c r="C100" s="96"/>
      <c r="D100" s="97">
        <v>43908.67</v>
      </c>
      <c r="E100" s="102" t="s">
        <v>39</v>
      </c>
      <c r="F100" s="99">
        <v>40057.0</v>
      </c>
      <c r="G100" s="84" t="s">
        <v>40</v>
      </c>
      <c r="H100" s="83">
        <v>40147.0</v>
      </c>
      <c r="I100" s="32">
        <f t="shared" si="1"/>
        <v>3</v>
      </c>
      <c r="J100" s="103" t="s">
        <v>212</v>
      </c>
      <c r="K100" s="86">
        <v>41000.0</v>
      </c>
      <c r="L100" s="87">
        <v>651.12</v>
      </c>
      <c r="M100" s="87">
        <f>1171.94+150</f>
        <v>1321.94</v>
      </c>
      <c r="N100" s="87">
        <v>0.0</v>
      </c>
      <c r="O100" s="87">
        <f t="shared" si="37"/>
        <v>2908.67</v>
      </c>
      <c r="P100" s="35">
        <f t="shared" si="3"/>
        <v>4881.73</v>
      </c>
      <c r="Q100" s="36">
        <f t="shared" si="4"/>
        <v>0.1111791817</v>
      </c>
      <c r="R100" s="36">
        <f t="shared" si="5"/>
        <v>0.8888208183</v>
      </c>
      <c r="S100" s="37"/>
      <c r="T100" s="5"/>
      <c r="U100" s="54"/>
      <c r="V100" s="55"/>
      <c r="W100" s="55"/>
      <c r="X100" s="56"/>
      <c r="Y100" s="55"/>
      <c r="Z100" s="55"/>
      <c r="AA100" s="57"/>
      <c r="AB100" s="5"/>
      <c r="AC100" s="42">
        <f t="shared" si="6"/>
        <v>0</v>
      </c>
      <c r="AD100" s="3">
        <f t="shared" si="7"/>
        <v>1</v>
      </c>
      <c r="AE100" s="3">
        <f t="shared" si="8"/>
        <v>0</v>
      </c>
      <c r="AF100" s="43">
        <f t="shared" si="9"/>
        <v>0</v>
      </c>
      <c r="AG100" s="44">
        <f t="shared" si="10"/>
        <v>0</v>
      </c>
      <c r="AH100" s="45">
        <f t="shared" si="11"/>
        <v>0</v>
      </c>
      <c r="AI100" s="46">
        <f t="shared" si="12"/>
        <v>0</v>
      </c>
      <c r="AJ100" s="47">
        <f t="shared" si="13"/>
        <v>0</v>
      </c>
      <c r="AK100" s="5"/>
      <c r="AL100" s="42">
        <f t="shared" si="14"/>
        <v>1</v>
      </c>
      <c r="AM100" s="3">
        <f t="shared" si="15"/>
        <v>1</v>
      </c>
      <c r="AN100" s="3">
        <f t="shared" si="16"/>
        <v>1</v>
      </c>
      <c r="AO100" s="3">
        <f t="shared" si="17"/>
        <v>1321.94</v>
      </c>
      <c r="AP100" s="44">
        <f t="shared" si="18"/>
        <v>43908.67</v>
      </c>
      <c r="AQ100" s="48">
        <f t="shared" si="19"/>
        <v>3</v>
      </c>
      <c r="AR100" s="46">
        <f t="shared" si="20"/>
        <v>0.007702532968</v>
      </c>
      <c r="AS100" s="47">
        <f t="shared" si="21"/>
        <v>0.0008563613124</v>
      </c>
      <c r="AT100" s="5"/>
      <c r="AU100" s="49">
        <f t="shared" si="27"/>
        <v>43908.67</v>
      </c>
      <c r="AV100" s="50">
        <f t="shared" si="23"/>
        <v>1</v>
      </c>
      <c r="AW100" s="51">
        <f t="shared" si="24"/>
        <v>0.004260159066</v>
      </c>
      <c r="AX100" s="52">
        <f t="shared" si="25"/>
        <v>0.0004736409989</v>
      </c>
      <c r="AY100" s="5"/>
      <c r="AZ100" s="53">
        <f t="shared" si="26"/>
        <v>1</v>
      </c>
      <c r="BA100" s="5"/>
      <c r="BB100" s="5"/>
      <c r="BC100" s="5"/>
    </row>
    <row r="101" ht="12.75" customHeight="1">
      <c r="A101" s="25"/>
      <c r="B101" s="27" t="s">
        <v>213</v>
      </c>
      <c r="C101" s="89"/>
      <c r="D101" s="90">
        <v>25880.81</v>
      </c>
      <c r="E101" s="94" t="s">
        <v>39</v>
      </c>
      <c r="F101" s="91">
        <v>40057.0</v>
      </c>
      <c r="G101" s="32" t="s">
        <v>40</v>
      </c>
      <c r="H101" s="88">
        <v>40369.0</v>
      </c>
      <c r="I101" s="32">
        <f t="shared" si="1"/>
        <v>10.4</v>
      </c>
      <c r="J101" s="33" t="s">
        <v>129</v>
      </c>
      <c r="K101" s="70">
        <v>21000.0</v>
      </c>
      <c r="L101" s="65">
        <v>1131.26</v>
      </c>
      <c r="M101" s="65">
        <f>206.65+363</f>
        <v>569.65</v>
      </c>
      <c r="N101" s="65">
        <f>159.46+33.33+1.5+6+450+2+4.04+4.17+0.73+70.48+19.96+24.01+32.5</f>
        <v>808.18</v>
      </c>
      <c r="O101" s="65">
        <f t="shared" si="37"/>
        <v>4880.81</v>
      </c>
      <c r="P101" s="35">
        <f t="shared" si="3"/>
        <v>7389.9</v>
      </c>
      <c r="Q101" s="36">
        <f t="shared" si="4"/>
        <v>0.2855358855</v>
      </c>
      <c r="R101" s="36">
        <f t="shared" si="5"/>
        <v>0.7144641145</v>
      </c>
      <c r="S101" s="37"/>
      <c r="T101" s="5"/>
      <c r="U101" s="54"/>
      <c r="V101" s="55"/>
      <c r="W101" s="55"/>
      <c r="X101" s="56"/>
      <c r="Y101" s="55"/>
      <c r="Z101" s="55"/>
      <c r="AA101" s="57"/>
      <c r="AB101" s="5"/>
      <c r="AC101" s="42">
        <f t="shared" si="6"/>
        <v>0</v>
      </c>
      <c r="AD101" s="3">
        <f t="shared" si="7"/>
        <v>1</v>
      </c>
      <c r="AE101" s="3">
        <f t="shared" si="8"/>
        <v>0</v>
      </c>
      <c r="AF101" s="43">
        <f t="shared" si="9"/>
        <v>0</v>
      </c>
      <c r="AG101" s="44">
        <f t="shared" si="10"/>
        <v>0</v>
      </c>
      <c r="AH101" s="45">
        <f t="shared" si="11"/>
        <v>0</v>
      </c>
      <c r="AI101" s="46">
        <f t="shared" si="12"/>
        <v>0</v>
      </c>
      <c r="AJ101" s="47">
        <f t="shared" si="13"/>
        <v>0</v>
      </c>
      <c r="AK101" s="5"/>
      <c r="AL101" s="42">
        <f t="shared" si="14"/>
        <v>1</v>
      </c>
      <c r="AM101" s="3">
        <f t="shared" si="15"/>
        <v>1</v>
      </c>
      <c r="AN101" s="3">
        <f t="shared" si="16"/>
        <v>1</v>
      </c>
      <c r="AO101" s="3">
        <f t="shared" si="17"/>
        <v>1377.83</v>
      </c>
      <c r="AP101" s="44">
        <f t="shared" si="18"/>
        <v>25880.81</v>
      </c>
      <c r="AQ101" s="48">
        <f t="shared" si="19"/>
        <v>10.4</v>
      </c>
      <c r="AR101" s="46">
        <f t="shared" si="20"/>
        <v>0.004540055353</v>
      </c>
      <c r="AS101" s="47">
        <f t="shared" si="21"/>
        <v>0.001296348725</v>
      </c>
      <c r="AT101" s="5"/>
      <c r="AU101" s="49">
        <f t="shared" si="27"/>
        <v>25880.81</v>
      </c>
      <c r="AV101" s="50">
        <f t="shared" si="23"/>
        <v>1</v>
      </c>
      <c r="AW101" s="51">
        <f t="shared" si="24"/>
        <v>0.002511038648</v>
      </c>
      <c r="AX101" s="52">
        <f t="shared" si="25"/>
        <v>0.0007169916438</v>
      </c>
      <c r="AY101" s="5"/>
      <c r="AZ101" s="53">
        <f t="shared" si="26"/>
        <v>1</v>
      </c>
      <c r="BA101" s="5"/>
      <c r="BB101" s="5"/>
      <c r="BC101" s="5"/>
    </row>
    <row r="102" ht="12.75" customHeight="1">
      <c r="A102" s="25"/>
      <c r="B102" s="92" t="s">
        <v>214</v>
      </c>
      <c r="C102" s="93"/>
      <c r="D102" s="90">
        <v>23693.29</v>
      </c>
      <c r="E102" s="94" t="s">
        <v>39</v>
      </c>
      <c r="F102" s="91">
        <v>40087.0</v>
      </c>
      <c r="G102" s="32" t="s">
        <v>40</v>
      </c>
      <c r="H102" s="88">
        <v>40329.0</v>
      </c>
      <c r="I102" s="32">
        <f t="shared" si="1"/>
        <v>8.066666667</v>
      </c>
      <c r="J102" s="64" t="s">
        <v>129</v>
      </c>
      <c r="K102" s="70">
        <v>22700.0</v>
      </c>
      <c r="L102" s="65">
        <f>54.8+12.1+69.6+28.2+65+10+816.14</f>
        <v>1055.84</v>
      </c>
      <c r="M102" s="65">
        <f>177.46+35.15+162.6+369.78</f>
        <v>744.99</v>
      </c>
      <c r="N102" s="65">
        <f>192.32+36.45+2.88+4+13.33+6.67+14.07+4.32+37.99</f>
        <v>312.03</v>
      </c>
      <c r="O102" s="65">
        <f t="shared" si="37"/>
        <v>993.29</v>
      </c>
      <c r="P102" s="35">
        <f t="shared" si="3"/>
        <v>3106.15</v>
      </c>
      <c r="Q102" s="36">
        <f t="shared" si="4"/>
        <v>0.1310982983</v>
      </c>
      <c r="R102" s="36">
        <f t="shared" si="5"/>
        <v>0.8689017017</v>
      </c>
      <c r="S102" s="37"/>
      <c r="T102" s="5"/>
      <c r="U102" s="54"/>
      <c r="V102" s="55"/>
      <c r="W102" s="55"/>
      <c r="X102" s="56"/>
      <c r="Y102" s="55"/>
      <c r="Z102" s="55"/>
      <c r="AA102" s="57"/>
      <c r="AB102" s="5"/>
      <c r="AC102" s="42">
        <f t="shared" si="6"/>
        <v>0</v>
      </c>
      <c r="AD102" s="3">
        <f t="shared" si="7"/>
        <v>1</v>
      </c>
      <c r="AE102" s="3">
        <f t="shared" si="8"/>
        <v>0</v>
      </c>
      <c r="AF102" s="43">
        <f t="shared" si="9"/>
        <v>0</v>
      </c>
      <c r="AG102" s="44">
        <f t="shared" si="10"/>
        <v>0</v>
      </c>
      <c r="AH102" s="45">
        <f t="shared" si="11"/>
        <v>0</v>
      </c>
      <c r="AI102" s="46">
        <f t="shared" si="12"/>
        <v>0</v>
      </c>
      <c r="AJ102" s="47">
        <f t="shared" si="13"/>
        <v>0</v>
      </c>
      <c r="AK102" s="5"/>
      <c r="AL102" s="42">
        <f t="shared" si="14"/>
        <v>1</v>
      </c>
      <c r="AM102" s="3">
        <f t="shared" si="15"/>
        <v>1</v>
      </c>
      <c r="AN102" s="3">
        <f t="shared" si="16"/>
        <v>1</v>
      </c>
      <c r="AO102" s="3">
        <f t="shared" si="17"/>
        <v>1057.02</v>
      </c>
      <c r="AP102" s="44">
        <f t="shared" si="18"/>
        <v>23693.29</v>
      </c>
      <c r="AQ102" s="48">
        <f t="shared" si="19"/>
        <v>8.066666667</v>
      </c>
      <c r="AR102" s="46">
        <f t="shared" si="20"/>
        <v>0.004156316904</v>
      </c>
      <c r="AS102" s="47">
        <f t="shared" si="21"/>
        <v>0.0005448860733</v>
      </c>
      <c r="AT102" s="5"/>
      <c r="AU102" s="49">
        <f t="shared" si="27"/>
        <v>23693.29</v>
      </c>
      <c r="AV102" s="50">
        <f t="shared" si="23"/>
        <v>1</v>
      </c>
      <c r="AW102" s="51">
        <f t="shared" si="24"/>
        <v>0.002298798488</v>
      </c>
      <c r="AX102" s="52">
        <f t="shared" si="25"/>
        <v>0.0003013685699</v>
      </c>
      <c r="AY102" s="5"/>
      <c r="AZ102" s="53">
        <f t="shared" si="26"/>
        <v>1</v>
      </c>
      <c r="BA102" s="5"/>
      <c r="BB102" s="5"/>
      <c r="BC102" s="5"/>
    </row>
    <row r="103" ht="12.75" customHeight="1">
      <c r="A103" s="25"/>
      <c r="B103" s="27" t="s">
        <v>215</v>
      </c>
      <c r="C103" s="89"/>
      <c r="D103" s="90">
        <v>22783.22</v>
      </c>
      <c r="E103" s="94" t="s">
        <v>39</v>
      </c>
      <c r="F103" s="91">
        <v>40087.0</v>
      </c>
      <c r="G103" s="32" t="s">
        <v>40</v>
      </c>
      <c r="H103" s="88">
        <v>40603.0</v>
      </c>
      <c r="I103" s="32">
        <f t="shared" si="1"/>
        <v>17.2</v>
      </c>
      <c r="J103" s="104" t="s">
        <v>216</v>
      </c>
      <c r="K103" s="70">
        <v>15000.0</v>
      </c>
      <c r="L103" s="65">
        <v>1344.18</v>
      </c>
      <c r="M103" s="65">
        <f>180.81+81.48+341.86+300</f>
        <v>904.15</v>
      </c>
      <c r="N103" s="65">
        <f>161.05+1.5+450+4.45+2+4.04+4.17+0.74+46.65</f>
        <v>674.6</v>
      </c>
      <c r="O103" s="65">
        <f t="shared" si="37"/>
        <v>7783.22</v>
      </c>
      <c r="P103" s="35">
        <f t="shared" si="3"/>
        <v>10706.15</v>
      </c>
      <c r="Q103" s="36">
        <f t="shared" si="4"/>
        <v>0.4699138225</v>
      </c>
      <c r="R103" s="36">
        <f t="shared" si="5"/>
        <v>0.5300861775</v>
      </c>
      <c r="S103" s="37"/>
      <c r="T103" s="5"/>
      <c r="U103" s="54"/>
      <c r="V103" s="55"/>
      <c r="W103" s="55"/>
      <c r="X103" s="56"/>
      <c r="Y103" s="55"/>
      <c r="Z103" s="55"/>
      <c r="AA103" s="57"/>
      <c r="AB103" s="5"/>
      <c r="AC103" s="42">
        <f t="shared" si="6"/>
        <v>0</v>
      </c>
      <c r="AD103" s="3">
        <f t="shared" si="7"/>
        <v>1</v>
      </c>
      <c r="AE103" s="3">
        <f t="shared" si="8"/>
        <v>0</v>
      </c>
      <c r="AF103" s="43">
        <f t="shared" si="9"/>
        <v>0</v>
      </c>
      <c r="AG103" s="44">
        <f t="shared" si="10"/>
        <v>0</v>
      </c>
      <c r="AH103" s="45">
        <f t="shared" si="11"/>
        <v>0</v>
      </c>
      <c r="AI103" s="46">
        <f t="shared" si="12"/>
        <v>0</v>
      </c>
      <c r="AJ103" s="47">
        <f t="shared" si="13"/>
        <v>0</v>
      </c>
      <c r="AK103" s="5"/>
      <c r="AL103" s="42">
        <f t="shared" si="14"/>
        <v>1</v>
      </c>
      <c r="AM103" s="3">
        <f t="shared" si="15"/>
        <v>1</v>
      </c>
      <c r="AN103" s="3">
        <f t="shared" si="16"/>
        <v>1</v>
      </c>
      <c r="AO103" s="3">
        <f t="shared" si="17"/>
        <v>1578.75</v>
      </c>
      <c r="AP103" s="44">
        <f t="shared" si="18"/>
        <v>22783.22</v>
      </c>
      <c r="AQ103" s="48">
        <f t="shared" si="19"/>
        <v>17.2</v>
      </c>
      <c r="AR103" s="46">
        <f t="shared" si="20"/>
        <v>0.003996670889</v>
      </c>
      <c r="AS103" s="47">
        <f t="shared" si="21"/>
        <v>0.001878090895</v>
      </c>
      <c r="AT103" s="5"/>
      <c r="AU103" s="49">
        <f t="shared" si="27"/>
        <v>22783.22</v>
      </c>
      <c r="AV103" s="50">
        <f t="shared" si="23"/>
        <v>1</v>
      </c>
      <c r="AW103" s="51">
        <f t="shared" si="24"/>
        <v>0.002210500597</v>
      </c>
      <c r="AX103" s="52">
        <f t="shared" si="25"/>
        <v>0.001038744785</v>
      </c>
      <c r="AY103" s="5"/>
      <c r="AZ103" s="53">
        <f t="shared" si="26"/>
        <v>1</v>
      </c>
      <c r="BA103" s="5"/>
      <c r="BB103" s="5"/>
      <c r="BC103" s="5"/>
    </row>
    <row r="104" ht="12.75" customHeight="1">
      <c r="A104" s="25"/>
      <c r="B104" s="92" t="s">
        <v>217</v>
      </c>
      <c r="C104" s="93"/>
      <c r="D104" s="90">
        <v>10200.0</v>
      </c>
      <c r="E104" s="94" t="s">
        <v>49</v>
      </c>
      <c r="F104" s="91">
        <v>40087.0</v>
      </c>
      <c r="G104" s="32" t="s">
        <v>40</v>
      </c>
      <c r="H104" s="88">
        <v>40968.0</v>
      </c>
      <c r="I104" s="32">
        <f t="shared" si="1"/>
        <v>29.36666667</v>
      </c>
      <c r="J104" s="64" t="s">
        <v>218</v>
      </c>
      <c r="K104" s="70">
        <v>10000.0</v>
      </c>
      <c r="L104" s="65">
        <v>0.0</v>
      </c>
      <c r="M104" s="65">
        <v>0.0</v>
      </c>
      <c r="N104" s="65">
        <f>D104-K104+O104</f>
        <v>812.72</v>
      </c>
      <c r="O104" s="65">
        <v>612.72</v>
      </c>
      <c r="P104" s="35">
        <f t="shared" si="3"/>
        <v>1012.72</v>
      </c>
      <c r="Q104" s="36">
        <f t="shared" si="4"/>
        <v>0.09928627451</v>
      </c>
      <c r="R104" s="36">
        <f t="shared" si="5"/>
        <v>0.9007137255</v>
      </c>
      <c r="S104" s="37"/>
      <c r="T104" s="5"/>
      <c r="U104" s="54"/>
      <c r="V104" s="55"/>
      <c r="W104" s="55"/>
      <c r="X104" s="56"/>
      <c r="Y104" s="55"/>
      <c r="Z104" s="55"/>
      <c r="AA104" s="57"/>
      <c r="AB104" s="5"/>
      <c r="AC104" s="42">
        <f t="shared" si="6"/>
        <v>1</v>
      </c>
      <c r="AD104" s="3">
        <f t="shared" si="7"/>
        <v>1</v>
      </c>
      <c r="AE104" s="3">
        <f t="shared" si="8"/>
        <v>1</v>
      </c>
      <c r="AF104" s="43">
        <f t="shared" si="9"/>
        <v>812.72</v>
      </c>
      <c r="AG104" s="44">
        <f t="shared" si="10"/>
        <v>10200</v>
      </c>
      <c r="AH104" s="45">
        <f t="shared" si="11"/>
        <v>29.36666667</v>
      </c>
      <c r="AI104" s="46">
        <f t="shared" si="12"/>
        <v>0.002207311148</v>
      </c>
      <c r="AJ104" s="47">
        <f t="shared" si="13"/>
        <v>0.0002191557005</v>
      </c>
      <c r="AK104" s="5"/>
      <c r="AL104" s="42">
        <f t="shared" si="14"/>
        <v>0</v>
      </c>
      <c r="AM104" s="3">
        <f t="shared" si="15"/>
        <v>1</v>
      </c>
      <c r="AN104" s="3">
        <f t="shared" si="16"/>
        <v>0</v>
      </c>
      <c r="AO104" s="3">
        <f t="shared" si="17"/>
        <v>0</v>
      </c>
      <c r="AP104" s="44">
        <f t="shared" si="18"/>
        <v>0</v>
      </c>
      <c r="AQ104" s="48">
        <f t="shared" si="19"/>
        <v>0</v>
      </c>
      <c r="AR104" s="46">
        <f t="shared" si="20"/>
        <v>0</v>
      </c>
      <c r="AS104" s="47">
        <f t="shared" si="21"/>
        <v>0</v>
      </c>
      <c r="AT104" s="5"/>
      <c r="AU104" s="49">
        <f t="shared" si="27"/>
        <v>10200</v>
      </c>
      <c r="AV104" s="50">
        <f t="shared" si="23"/>
        <v>1</v>
      </c>
      <c r="AW104" s="51">
        <f t="shared" si="24"/>
        <v>0.0009896364994</v>
      </c>
      <c r="AX104" s="52">
        <f t="shared" si="25"/>
        <v>0.00009825732115</v>
      </c>
      <c r="AY104" s="5"/>
      <c r="AZ104" s="53">
        <f t="shared" si="26"/>
        <v>1</v>
      </c>
      <c r="BA104" s="5"/>
      <c r="BB104" s="5"/>
      <c r="BC104" s="5"/>
    </row>
    <row r="105" ht="12.75" customHeight="1">
      <c r="A105" s="25"/>
      <c r="B105" s="92" t="s">
        <v>219</v>
      </c>
      <c r="C105" s="93"/>
      <c r="D105" s="90">
        <v>12701.78</v>
      </c>
      <c r="E105" s="94" t="s">
        <v>49</v>
      </c>
      <c r="F105" s="91">
        <v>40087.0</v>
      </c>
      <c r="G105" s="32" t="s">
        <v>40</v>
      </c>
      <c r="H105" s="88" t="s">
        <v>129</v>
      </c>
      <c r="I105" s="32" t="str">
        <f t="shared" si="1"/>
        <v>N/A</v>
      </c>
      <c r="J105" s="33" t="s">
        <v>129</v>
      </c>
      <c r="K105" s="101" t="s">
        <v>129</v>
      </c>
      <c r="L105" s="65">
        <v>1405.41</v>
      </c>
      <c r="M105" s="65">
        <f>1405.41+150</f>
        <v>1555.41</v>
      </c>
      <c r="N105" s="65">
        <v>450.0</v>
      </c>
      <c r="O105" s="65">
        <f t="shared" ref="O105:O119" si="38">IF(K105="N/A",0,IF(K105-D105&gt;0,0,D105-K105))</f>
        <v>0</v>
      </c>
      <c r="P105" s="35">
        <f t="shared" si="3"/>
        <v>0</v>
      </c>
      <c r="Q105" s="36" t="str">
        <f t="shared" si="4"/>
        <v>N/A</v>
      </c>
      <c r="R105" s="36" t="str">
        <f t="shared" si="5"/>
        <v>N/A</v>
      </c>
      <c r="S105" s="37"/>
      <c r="T105" s="5"/>
      <c r="U105" s="54"/>
      <c r="V105" s="55"/>
      <c r="W105" s="55"/>
      <c r="X105" s="56">
        <v>0.0675</v>
      </c>
      <c r="Y105" s="55"/>
      <c r="Z105" s="55"/>
      <c r="AA105" s="57"/>
      <c r="AB105" s="5"/>
      <c r="AC105" s="42">
        <f t="shared" si="6"/>
        <v>1</v>
      </c>
      <c r="AD105" s="3">
        <f t="shared" si="7"/>
        <v>0</v>
      </c>
      <c r="AE105" s="3">
        <f t="shared" si="8"/>
        <v>0</v>
      </c>
      <c r="AF105" s="43">
        <f t="shared" si="9"/>
        <v>0</v>
      </c>
      <c r="AG105" s="44">
        <f t="shared" si="10"/>
        <v>0</v>
      </c>
      <c r="AH105" s="45">
        <f t="shared" si="11"/>
        <v>0</v>
      </c>
      <c r="AI105" s="46">
        <f t="shared" si="12"/>
        <v>0</v>
      </c>
      <c r="AJ105" s="47">
        <f t="shared" si="13"/>
        <v>0</v>
      </c>
      <c r="AK105" s="5"/>
      <c r="AL105" s="42">
        <f t="shared" si="14"/>
        <v>0</v>
      </c>
      <c r="AM105" s="3">
        <f t="shared" si="15"/>
        <v>0</v>
      </c>
      <c r="AN105" s="3">
        <f t="shared" si="16"/>
        <v>0</v>
      </c>
      <c r="AO105" s="3">
        <f t="shared" si="17"/>
        <v>0</v>
      </c>
      <c r="AP105" s="44">
        <f t="shared" si="18"/>
        <v>0</v>
      </c>
      <c r="AQ105" s="48">
        <f t="shared" si="19"/>
        <v>0</v>
      </c>
      <c r="AR105" s="46">
        <f t="shared" si="20"/>
        <v>0</v>
      </c>
      <c r="AS105" s="47">
        <f t="shared" si="21"/>
        <v>0</v>
      </c>
      <c r="AT105" s="5"/>
      <c r="AU105" s="49">
        <f t="shared" si="27"/>
        <v>0</v>
      </c>
      <c r="AV105" s="50">
        <f t="shared" si="23"/>
        <v>0</v>
      </c>
      <c r="AW105" s="51">
        <f t="shared" si="24"/>
        <v>0</v>
      </c>
      <c r="AX105" s="52">
        <f t="shared" si="25"/>
        <v>0</v>
      </c>
      <c r="AY105" s="5"/>
      <c r="AZ105" s="53">
        <f t="shared" si="26"/>
        <v>1</v>
      </c>
      <c r="BA105" s="5"/>
      <c r="BB105" s="5"/>
      <c r="BC105" s="5"/>
    </row>
    <row r="106" ht="12.75" customHeight="1">
      <c r="A106" s="25"/>
      <c r="B106" s="27" t="s">
        <v>220</v>
      </c>
      <c r="C106" s="89"/>
      <c r="D106" s="90">
        <v>29894.0</v>
      </c>
      <c r="E106" s="94" t="s">
        <v>39</v>
      </c>
      <c r="F106" s="91">
        <v>40095.0</v>
      </c>
      <c r="G106" s="32" t="s">
        <v>40</v>
      </c>
      <c r="H106" s="88">
        <v>40245.0</v>
      </c>
      <c r="I106" s="32">
        <f t="shared" si="1"/>
        <v>5</v>
      </c>
      <c r="J106" s="64" t="s">
        <v>221</v>
      </c>
      <c r="K106" s="70">
        <v>26800.0</v>
      </c>
      <c r="L106" s="65">
        <f>8.92+29.48+52+8.4+1082.99</f>
        <v>1181.79</v>
      </c>
      <c r="M106" s="65">
        <f>423.94+98.8</f>
        <v>522.74</v>
      </c>
      <c r="N106" s="65">
        <f>24+8.7+8.57+900</f>
        <v>941.27</v>
      </c>
      <c r="O106" s="65">
        <f t="shared" si="38"/>
        <v>3094</v>
      </c>
      <c r="P106" s="35">
        <f t="shared" si="3"/>
        <v>5739.8</v>
      </c>
      <c r="Q106" s="36">
        <f t="shared" si="4"/>
        <v>0.1920050846</v>
      </c>
      <c r="R106" s="36">
        <f t="shared" si="5"/>
        <v>0.8079949154</v>
      </c>
      <c r="S106" s="37"/>
      <c r="T106" s="5"/>
      <c r="U106" s="54"/>
      <c r="V106" s="55"/>
      <c r="W106" s="55"/>
      <c r="X106" s="56"/>
      <c r="Y106" s="55"/>
      <c r="Z106" s="55"/>
      <c r="AA106" s="57"/>
      <c r="AB106" s="5"/>
      <c r="AC106" s="42">
        <f t="shared" si="6"/>
        <v>0</v>
      </c>
      <c r="AD106" s="3">
        <f t="shared" si="7"/>
        <v>1</v>
      </c>
      <c r="AE106" s="3">
        <f t="shared" si="8"/>
        <v>0</v>
      </c>
      <c r="AF106" s="43">
        <f t="shared" si="9"/>
        <v>0</v>
      </c>
      <c r="AG106" s="44">
        <f t="shared" si="10"/>
        <v>0</v>
      </c>
      <c r="AH106" s="45">
        <f t="shared" si="11"/>
        <v>0</v>
      </c>
      <c r="AI106" s="46">
        <f t="shared" si="12"/>
        <v>0</v>
      </c>
      <c r="AJ106" s="47">
        <f t="shared" si="13"/>
        <v>0</v>
      </c>
      <c r="AK106" s="5"/>
      <c r="AL106" s="42">
        <f t="shared" si="14"/>
        <v>1</v>
      </c>
      <c r="AM106" s="3">
        <f t="shared" si="15"/>
        <v>1</v>
      </c>
      <c r="AN106" s="3">
        <f t="shared" si="16"/>
        <v>1</v>
      </c>
      <c r="AO106" s="3">
        <f t="shared" si="17"/>
        <v>1464.01</v>
      </c>
      <c r="AP106" s="44">
        <f t="shared" si="18"/>
        <v>29894</v>
      </c>
      <c r="AQ106" s="48">
        <f t="shared" si="19"/>
        <v>5</v>
      </c>
      <c r="AR106" s="46">
        <f t="shared" si="20"/>
        <v>0.005244055913</v>
      </c>
      <c r="AS106" s="47">
        <f t="shared" si="21"/>
        <v>0.001006885399</v>
      </c>
      <c r="AT106" s="5"/>
      <c r="AU106" s="49">
        <f t="shared" si="27"/>
        <v>29894</v>
      </c>
      <c r="AV106" s="50">
        <f t="shared" si="23"/>
        <v>1</v>
      </c>
      <c r="AW106" s="51">
        <f t="shared" si="24"/>
        <v>0.002900411129</v>
      </c>
      <c r="AX106" s="52">
        <f t="shared" si="25"/>
        <v>0.0005568936842</v>
      </c>
      <c r="AY106" s="5"/>
      <c r="AZ106" s="53">
        <f t="shared" si="26"/>
        <v>1</v>
      </c>
      <c r="BA106" s="5"/>
      <c r="BB106" s="5"/>
      <c r="BC106" s="5"/>
    </row>
    <row r="107" ht="12.75" customHeight="1">
      <c r="A107" s="25"/>
      <c r="B107" s="27" t="s">
        <v>222</v>
      </c>
      <c r="C107" s="89"/>
      <c r="D107" s="90">
        <v>17050.49</v>
      </c>
      <c r="E107" s="94" t="s">
        <v>39</v>
      </c>
      <c r="F107" s="91">
        <v>40126.0</v>
      </c>
      <c r="G107" s="32" t="s">
        <v>40</v>
      </c>
      <c r="H107" s="88">
        <v>40247.0</v>
      </c>
      <c r="I107" s="32">
        <f t="shared" si="1"/>
        <v>4.033333333</v>
      </c>
      <c r="J107" s="33" t="s">
        <v>223</v>
      </c>
      <c r="K107" s="70">
        <v>17500.0</v>
      </c>
      <c r="L107" s="65">
        <f>37.3+24.75+9.5+892.87</f>
        <v>964.42</v>
      </c>
      <c r="M107" s="65">
        <f>127.43+71.55+272.44</f>
        <v>471.42</v>
      </c>
      <c r="N107" s="65">
        <f>145.01+168</f>
        <v>313.01</v>
      </c>
      <c r="O107" s="65">
        <f t="shared" si="38"/>
        <v>0</v>
      </c>
      <c r="P107" s="35">
        <f t="shared" si="3"/>
        <v>1299.34</v>
      </c>
      <c r="Q107" s="36">
        <f t="shared" si="4"/>
        <v>0.07620543457</v>
      </c>
      <c r="R107" s="36">
        <f t="shared" si="5"/>
        <v>0.9237945654</v>
      </c>
      <c r="S107" s="37"/>
      <c r="T107" s="5"/>
      <c r="U107" s="54"/>
      <c r="V107" s="55"/>
      <c r="W107" s="55"/>
      <c r="X107" s="56"/>
      <c r="Y107" s="55"/>
      <c r="Z107" s="55"/>
      <c r="AA107" s="57"/>
      <c r="AB107" s="5"/>
      <c r="AC107" s="42">
        <f t="shared" si="6"/>
        <v>0</v>
      </c>
      <c r="AD107" s="3">
        <f t="shared" si="7"/>
        <v>1</v>
      </c>
      <c r="AE107" s="3">
        <f t="shared" si="8"/>
        <v>0</v>
      </c>
      <c r="AF107" s="43">
        <f t="shared" si="9"/>
        <v>0</v>
      </c>
      <c r="AG107" s="44">
        <f t="shared" si="10"/>
        <v>0</v>
      </c>
      <c r="AH107" s="45">
        <f t="shared" si="11"/>
        <v>0</v>
      </c>
      <c r="AI107" s="46">
        <f t="shared" si="12"/>
        <v>0</v>
      </c>
      <c r="AJ107" s="47">
        <f t="shared" si="13"/>
        <v>0</v>
      </c>
      <c r="AK107" s="5"/>
      <c r="AL107" s="42">
        <f t="shared" si="14"/>
        <v>1</v>
      </c>
      <c r="AM107" s="3">
        <f t="shared" si="15"/>
        <v>1</v>
      </c>
      <c r="AN107" s="3">
        <f t="shared" si="16"/>
        <v>1</v>
      </c>
      <c r="AO107" s="3">
        <f t="shared" si="17"/>
        <v>784.43</v>
      </c>
      <c r="AP107" s="44">
        <f t="shared" si="18"/>
        <v>17050.49</v>
      </c>
      <c r="AQ107" s="48">
        <f t="shared" si="19"/>
        <v>4.033333333</v>
      </c>
      <c r="AR107" s="46">
        <f t="shared" si="20"/>
        <v>0.002991025721</v>
      </c>
      <c r="AS107" s="47">
        <f t="shared" si="21"/>
        <v>0.0002279324149</v>
      </c>
      <c r="AT107" s="5"/>
      <c r="AU107" s="49">
        <f t="shared" si="27"/>
        <v>17050.49</v>
      </c>
      <c r="AV107" s="50">
        <f t="shared" si="23"/>
        <v>1</v>
      </c>
      <c r="AW107" s="51">
        <f t="shared" si="24"/>
        <v>0.001654292866</v>
      </c>
      <c r="AX107" s="52">
        <f t="shared" si="25"/>
        <v>0.0001260661068</v>
      </c>
      <c r="AY107" s="5"/>
      <c r="AZ107" s="53">
        <f t="shared" si="26"/>
        <v>1</v>
      </c>
      <c r="BA107" s="5"/>
      <c r="BB107" s="5"/>
      <c r="BC107" s="5"/>
    </row>
    <row r="108" ht="12.75" customHeight="1">
      <c r="A108" s="25"/>
      <c r="B108" s="92" t="s">
        <v>224</v>
      </c>
      <c r="C108" s="92"/>
      <c r="D108" s="28">
        <v>18714.37</v>
      </c>
      <c r="E108" s="94" t="s">
        <v>39</v>
      </c>
      <c r="F108" s="91">
        <v>40147.0</v>
      </c>
      <c r="G108" s="32" t="s">
        <v>40</v>
      </c>
      <c r="H108" s="88">
        <v>40188.0</v>
      </c>
      <c r="I108" s="32">
        <f t="shared" si="1"/>
        <v>1.366666667</v>
      </c>
      <c r="J108" s="64" t="s">
        <v>225</v>
      </c>
      <c r="K108" s="70">
        <v>21500.0</v>
      </c>
      <c r="L108" s="65">
        <f>1633.05+8.45+1.87+11+4.91+13+1.93</f>
        <v>1674.21</v>
      </c>
      <c r="M108" s="65">
        <f>515.15+48.88+150</f>
        <v>714.03</v>
      </c>
      <c r="N108" s="65">
        <f>19.45+17.91+8.89+5.1+24.67+4.3+2003.15</f>
        <v>2083.47</v>
      </c>
      <c r="O108" s="65">
        <f t="shared" si="38"/>
        <v>0</v>
      </c>
      <c r="P108" s="35">
        <f t="shared" si="3"/>
        <v>1686.08</v>
      </c>
      <c r="Q108" s="36">
        <f t="shared" si="4"/>
        <v>0.09009547209</v>
      </c>
      <c r="R108" s="36">
        <f t="shared" si="5"/>
        <v>0.9099045279</v>
      </c>
      <c r="S108" s="37"/>
      <c r="T108" s="5"/>
      <c r="U108" s="54"/>
      <c r="V108" s="55"/>
      <c r="W108" s="55"/>
      <c r="X108" s="56"/>
      <c r="Y108" s="55"/>
      <c r="Z108" s="55"/>
      <c r="AA108" s="57"/>
      <c r="AB108" s="5"/>
      <c r="AC108" s="42">
        <f t="shared" si="6"/>
        <v>0</v>
      </c>
      <c r="AD108" s="3">
        <f t="shared" si="7"/>
        <v>1</v>
      </c>
      <c r="AE108" s="3">
        <f t="shared" si="8"/>
        <v>0</v>
      </c>
      <c r="AF108" s="43">
        <f t="shared" si="9"/>
        <v>0</v>
      </c>
      <c r="AG108" s="44">
        <f t="shared" si="10"/>
        <v>0</v>
      </c>
      <c r="AH108" s="45">
        <f t="shared" si="11"/>
        <v>0</v>
      </c>
      <c r="AI108" s="46">
        <f t="shared" si="12"/>
        <v>0</v>
      </c>
      <c r="AJ108" s="47">
        <f t="shared" si="13"/>
        <v>0</v>
      </c>
      <c r="AK108" s="5"/>
      <c r="AL108" s="42">
        <f t="shared" si="14"/>
        <v>1</v>
      </c>
      <c r="AM108" s="3">
        <f t="shared" si="15"/>
        <v>1</v>
      </c>
      <c r="AN108" s="3">
        <f t="shared" si="16"/>
        <v>1</v>
      </c>
      <c r="AO108" s="3">
        <f t="shared" si="17"/>
        <v>2797.5</v>
      </c>
      <c r="AP108" s="44">
        <f t="shared" si="18"/>
        <v>18714.37</v>
      </c>
      <c r="AQ108" s="48">
        <f t="shared" si="19"/>
        <v>1.366666667</v>
      </c>
      <c r="AR108" s="46">
        <f t="shared" si="20"/>
        <v>0.003282906358</v>
      </c>
      <c r="AS108" s="47">
        <f t="shared" si="21"/>
        <v>0.0002957749981</v>
      </c>
      <c r="AT108" s="5"/>
      <c r="AU108" s="49">
        <f t="shared" si="27"/>
        <v>18714.37</v>
      </c>
      <c r="AV108" s="50">
        <f t="shared" si="23"/>
        <v>1</v>
      </c>
      <c r="AW108" s="51">
        <f t="shared" si="24"/>
        <v>0.001815727805</v>
      </c>
      <c r="AX108" s="52">
        <f t="shared" si="25"/>
        <v>0.0001635888538</v>
      </c>
      <c r="AY108" s="5"/>
      <c r="AZ108" s="53">
        <f t="shared" si="26"/>
        <v>1</v>
      </c>
      <c r="BA108" s="5"/>
      <c r="BB108" s="5"/>
      <c r="BC108" s="5"/>
    </row>
    <row r="109" ht="12.75" customHeight="1">
      <c r="A109" s="25"/>
      <c r="B109" s="92" t="s">
        <v>226</v>
      </c>
      <c r="C109" s="92"/>
      <c r="D109" s="28">
        <v>10211.95</v>
      </c>
      <c r="E109" s="94" t="s">
        <v>49</v>
      </c>
      <c r="F109" s="30">
        <v>40147.0</v>
      </c>
      <c r="G109" s="32" t="s">
        <v>40</v>
      </c>
      <c r="H109" s="30">
        <v>40247.0</v>
      </c>
      <c r="I109" s="32">
        <f t="shared" si="1"/>
        <v>3.333333333</v>
      </c>
      <c r="J109" s="33" t="s">
        <v>227</v>
      </c>
      <c r="K109" s="34">
        <v>20000.0</v>
      </c>
      <c r="L109" s="35">
        <f>7.72+1291.7</f>
        <v>1299.42</v>
      </c>
      <c r="M109" s="65">
        <f>435.71+1083.73+83.59</f>
        <v>1603.03</v>
      </c>
      <c r="N109" s="65">
        <f>3.9+48.25+9.72+900+20.17</f>
        <v>982.04</v>
      </c>
      <c r="O109" s="65">
        <f t="shared" si="38"/>
        <v>0</v>
      </c>
      <c r="P109" s="35">
        <f t="shared" si="3"/>
        <v>0</v>
      </c>
      <c r="Q109" s="36">
        <f t="shared" si="4"/>
        <v>0</v>
      </c>
      <c r="R109" s="36">
        <f t="shared" si="5"/>
        <v>1</v>
      </c>
      <c r="S109" s="37"/>
      <c r="T109" s="5"/>
      <c r="U109" s="54"/>
      <c r="V109" s="55"/>
      <c r="W109" s="55"/>
      <c r="X109" s="56"/>
      <c r="Y109" s="55"/>
      <c r="Z109" s="55"/>
      <c r="AA109" s="57"/>
      <c r="AB109" s="5"/>
      <c r="AC109" s="42">
        <f t="shared" si="6"/>
        <v>1</v>
      </c>
      <c r="AD109" s="3">
        <f t="shared" si="7"/>
        <v>1</v>
      </c>
      <c r="AE109" s="3">
        <f t="shared" si="8"/>
        <v>1</v>
      </c>
      <c r="AF109" s="43">
        <f t="shared" si="9"/>
        <v>2585.07</v>
      </c>
      <c r="AG109" s="44">
        <f t="shared" si="10"/>
        <v>10211.95</v>
      </c>
      <c r="AH109" s="45">
        <f t="shared" si="11"/>
        <v>3.333333333</v>
      </c>
      <c r="AI109" s="46">
        <f t="shared" si="12"/>
        <v>0.002209897164</v>
      </c>
      <c r="AJ109" s="47">
        <f t="shared" si="13"/>
        <v>0</v>
      </c>
      <c r="AK109" s="5"/>
      <c r="AL109" s="42">
        <f t="shared" si="14"/>
        <v>0</v>
      </c>
      <c r="AM109" s="3">
        <f t="shared" si="15"/>
        <v>1</v>
      </c>
      <c r="AN109" s="3">
        <f t="shared" si="16"/>
        <v>0</v>
      </c>
      <c r="AO109" s="3">
        <f t="shared" si="17"/>
        <v>0</v>
      </c>
      <c r="AP109" s="44">
        <f t="shared" si="18"/>
        <v>0</v>
      </c>
      <c r="AQ109" s="48">
        <f t="shared" si="19"/>
        <v>0</v>
      </c>
      <c r="AR109" s="46">
        <f t="shared" si="20"/>
        <v>0</v>
      </c>
      <c r="AS109" s="47">
        <f t="shared" si="21"/>
        <v>0</v>
      </c>
      <c r="AT109" s="5"/>
      <c r="AU109" s="49">
        <f t="shared" si="27"/>
        <v>10211.95</v>
      </c>
      <c r="AV109" s="50">
        <f t="shared" si="23"/>
        <v>1</v>
      </c>
      <c r="AW109" s="51">
        <f t="shared" si="24"/>
        <v>0.0009907959265</v>
      </c>
      <c r="AX109" s="52">
        <f t="shared" si="25"/>
        <v>0</v>
      </c>
      <c r="AY109" s="5"/>
      <c r="AZ109" s="53">
        <f t="shared" si="26"/>
        <v>1</v>
      </c>
      <c r="BA109" s="5"/>
      <c r="BB109" s="5"/>
      <c r="BC109" s="5"/>
    </row>
    <row r="110" ht="12.75" customHeight="1">
      <c r="A110" s="25"/>
      <c r="B110" s="92" t="s">
        <v>228</v>
      </c>
      <c r="C110" s="92"/>
      <c r="D110" s="28">
        <v>14217.52</v>
      </c>
      <c r="E110" s="94" t="s">
        <v>39</v>
      </c>
      <c r="F110" s="30">
        <v>40147.0</v>
      </c>
      <c r="G110" s="31" t="s">
        <v>40</v>
      </c>
      <c r="H110" s="30">
        <v>40268.0</v>
      </c>
      <c r="I110" s="32">
        <f t="shared" si="1"/>
        <v>4.033333333</v>
      </c>
      <c r="J110" s="33" t="s">
        <v>129</v>
      </c>
      <c r="K110" s="34">
        <v>13600.0</v>
      </c>
      <c r="L110" s="35">
        <f>53.04+11.76+46.32+29.76+104+15.04+924.2</f>
        <v>1184.12</v>
      </c>
      <c r="M110" s="65">
        <f>106.65+293.05+144.16</f>
        <v>543.86</v>
      </c>
      <c r="N110" s="65">
        <f>181.53+40+78.49+20.73+4.68+450</f>
        <v>775.43</v>
      </c>
      <c r="O110" s="65">
        <f t="shared" si="38"/>
        <v>617.52</v>
      </c>
      <c r="P110" s="35">
        <f t="shared" si="3"/>
        <v>3120.93</v>
      </c>
      <c r="Q110" s="36">
        <f t="shared" si="4"/>
        <v>0.2195129671</v>
      </c>
      <c r="R110" s="36">
        <f t="shared" si="5"/>
        <v>0.7804870329</v>
      </c>
      <c r="S110" s="37"/>
      <c r="T110" s="5"/>
      <c r="U110" s="54"/>
      <c r="V110" s="55"/>
      <c r="W110" s="55"/>
      <c r="X110" s="56"/>
      <c r="Y110" s="55"/>
      <c r="Z110" s="55"/>
      <c r="AA110" s="57"/>
      <c r="AB110" s="5"/>
      <c r="AC110" s="42">
        <f t="shared" si="6"/>
        <v>0</v>
      </c>
      <c r="AD110" s="3">
        <f t="shared" si="7"/>
        <v>1</v>
      </c>
      <c r="AE110" s="3">
        <f t="shared" si="8"/>
        <v>0</v>
      </c>
      <c r="AF110" s="43">
        <f t="shared" si="9"/>
        <v>0</v>
      </c>
      <c r="AG110" s="44">
        <f t="shared" si="10"/>
        <v>0</v>
      </c>
      <c r="AH110" s="45">
        <f t="shared" si="11"/>
        <v>0</v>
      </c>
      <c r="AI110" s="46">
        <f t="shared" si="12"/>
        <v>0</v>
      </c>
      <c r="AJ110" s="47">
        <f t="shared" si="13"/>
        <v>0</v>
      </c>
      <c r="AK110" s="5"/>
      <c r="AL110" s="42">
        <f t="shared" si="14"/>
        <v>1</v>
      </c>
      <c r="AM110" s="3">
        <f t="shared" si="15"/>
        <v>1</v>
      </c>
      <c r="AN110" s="3">
        <f t="shared" si="16"/>
        <v>1</v>
      </c>
      <c r="AO110" s="3">
        <f t="shared" si="17"/>
        <v>1319.29</v>
      </c>
      <c r="AP110" s="44">
        <f t="shared" si="18"/>
        <v>14217.52</v>
      </c>
      <c r="AQ110" s="48">
        <f t="shared" si="19"/>
        <v>4.033333333</v>
      </c>
      <c r="AR110" s="46">
        <f t="shared" si="20"/>
        <v>0.002494061344</v>
      </c>
      <c r="AS110" s="47">
        <f t="shared" si="21"/>
        <v>0.0005474788058</v>
      </c>
      <c r="AT110" s="5"/>
      <c r="AU110" s="49">
        <f t="shared" si="27"/>
        <v>14217.52</v>
      </c>
      <c r="AV110" s="50">
        <f t="shared" si="23"/>
        <v>1</v>
      </c>
      <c r="AW110" s="51">
        <f t="shared" si="24"/>
        <v>0.001379429091</v>
      </c>
      <c r="AX110" s="52">
        <f t="shared" si="25"/>
        <v>0.0003028025726</v>
      </c>
      <c r="AY110" s="5"/>
      <c r="AZ110" s="53">
        <f t="shared" si="26"/>
        <v>1</v>
      </c>
      <c r="BA110" s="5"/>
      <c r="BB110" s="5"/>
      <c r="BC110" s="5"/>
    </row>
    <row r="111" ht="12.75" customHeight="1">
      <c r="A111" s="25"/>
      <c r="B111" s="92" t="s">
        <v>229</v>
      </c>
      <c r="C111" s="92"/>
      <c r="D111" s="28">
        <v>13191.39</v>
      </c>
      <c r="E111" s="105" t="s">
        <v>39</v>
      </c>
      <c r="F111" s="30">
        <v>40147.0</v>
      </c>
      <c r="G111" s="31" t="s">
        <v>40</v>
      </c>
      <c r="H111" s="30">
        <v>40442.0</v>
      </c>
      <c r="I111" s="32">
        <f t="shared" si="1"/>
        <v>9.833333333</v>
      </c>
      <c r="J111" s="33" t="s">
        <v>230</v>
      </c>
      <c r="K111" s="34">
        <v>14000.0</v>
      </c>
      <c r="L111" s="35">
        <f>7.9+78+16.83+939.68</f>
        <v>1042.41</v>
      </c>
      <c r="M111" s="65">
        <f>271.19+8.86+123.69+86.89</f>
        <v>490.63</v>
      </c>
      <c r="N111" s="65">
        <f>2+3.48+8.4+293.93+3.36+8.34+4.67+5.56+5.31+73.28</f>
        <v>408.33</v>
      </c>
      <c r="O111" s="65">
        <f t="shared" si="38"/>
        <v>0</v>
      </c>
      <c r="P111" s="35">
        <f t="shared" si="3"/>
        <v>1132.76</v>
      </c>
      <c r="Q111" s="36">
        <f t="shared" si="4"/>
        <v>0.08587116293</v>
      </c>
      <c r="R111" s="36">
        <f t="shared" si="5"/>
        <v>0.9141288371</v>
      </c>
      <c r="S111" s="37"/>
      <c r="T111" s="5"/>
      <c r="U111" s="54"/>
      <c r="V111" s="55"/>
      <c r="W111" s="55"/>
      <c r="X111" s="56"/>
      <c r="Y111" s="55"/>
      <c r="Z111" s="55"/>
      <c r="AA111" s="57"/>
      <c r="AB111" s="5"/>
      <c r="AC111" s="42">
        <f t="shared" si="6"/>
        <v>0</v>
      </c>
      <c r="AD111" s="3">
        <f t="shared" si="7"/>
        <v>1</v>
      </c>
      <c r="AE111" s="3">
        <f t="shared" si="8"/>
        <v>0</v>
      </c>
      <c r="AF111" s="43">
        <f t="shared" si="9"/>
        <v>0</v>
      </c>
      <c r="AG111" s="44">
        <f t="shared" si="10"/>
        <v>0</v>
      </c>
      <c r="AH111" s="45">
        <f t="shared" si="11"/>
        <v>0</v>
      </c>
      <c r="AI111" s="46">
        <f t="shared" si="12"/>
        <v>0</v>
      </c>
      <c r="AJ111" s="47">
        <f t="shared" si="13"/>
        <v>0</v>
      </c>
      <c r="AK111" s="5"/>
      <c r="AL111" s="42">
        <f t="shared" si="14"/>
        <v>1</v>
      </c>
      <c r="AM111" s="3">
        <f t="shared" si="15"/>
        <v>1</v>
      </c>
      <c r="AN111" s="3">
        <f t="shared" si="16"/>
        <v>1</v>
      </c>
      <c r="AO111" s="3">
        <f t="shared" si="17"/>
        <v>898.96</v>
      </c>
      <c r="AP111" s="44">
        <f t="shared" si="18"/>
        <v>13191.39</v>
      </c>
      <c r="AQ111" s="48">
        <f t="shared" si="19"/>
        <v>9.833333333</v>
      </c>
      <c r="AR111" s="46">
        <f t="shared" si="20"/>
        <v>0.002314055889</v>
      </c>
      <c r="AS111" s="47">
        <f t="shared" si="21"/>
        <v>0.0001987106702</v>
      </c>
      <c r="AT111" s="5"/>
      <c r="AU111" s="49">
        <f t="shared" si="27"/>
        <v>13191.39</v>
      </c>
      <c r="AV111" s="50">
        <f t="shared" si="23"/>
        <v>1</v>
      </c>
      <c r="AW111" s="51">
        <f t="shared" si="24"/>
        <v>0.001279870688</v>
      </c>
      <c r="AX111" s="52">
        <f t="shared" si="25"/>
        <v>0.0001099039844</v>
      </c>
      <c r="AY111" s="5"/>
      <c r="AZ111" s="53">
        <f t="shared" si="26"/>
        <v>1</v>
      </c>
      <c r="BA111" s="5"/>
      <c r="BB111" s="5"/>
      <c r="BC111" s="5"/>
    </row>
    <row r="112" ht="12.75" customHeight="1">
      <c r="A112" s="25"/>
      <c r="B112" s="27" t="s">
        <v>231</v>
      </c>
      <c r="C112" s="27"/>
      <c r="D112" s="28">
        <v>13920.19</v>
      </c>
      <c r="E112" s="94" t="s">
        <v>49</v>
      </c>
      <c r="F112" s="30">
        <v>40147.0</v>
      </c>
      <c r="G112" s="31" t="s">
        <v>40</v>
      </c>
      <c r="H112" s="30">
        <v>40544.0</v>
      </c>
      <c r="I112" s="32">
        <f t="shared" si="1"/>
        <v>13.23333333</v>
      </c>
      <c r="J112" s="33" t="s">
        <v>232</v>
      </c>
      <c r="K112" s="34">
        <v>21000.0</v>
      </c>
      <c r="L112" s="35">
        <v>0.0</v>
      </c>
      <c r="M112" s="65">
        <v>0.0</v>
      </c>
      <c r="N112" s="65">
        <f>43.36</f>
        <v>43.36</v>
      </c>
      <c r="O112" s="65">
        <f t="shared" si="38"/>
        <v>0</v>
      </c>
      <c r="P112" s="35">
        <f t="shared" si="3"/>
        <v>0</v>
      </c>
      <c r="Q112" s="36">
        <f t="shared" si="4"/>
        <v>0</v>
      </c>
      <c r="R112" s="36">
        <f t="shared" si="5"/>
        <v>1</v>
      </c>
      <c r="S112" s="37"/>
      <c r="T112" s="5"/>
      <c r="U112" s="54"/>
      <c r="V112" s="55"/>
      <c r="W112" s="55"/>
      <c r="X112" s="56"/>
      <c r="Y112" s="55"/>
      <c r="Z112" s="55"/>
      <c r="AA112" s="57"/>
      <c r="AB112" s="5"/>
      <c r="AC112" s="42">
        <f t="shared" si="6"/>
        <v>1</v>
      </c>
      <c r="AD112" s="3">
        <f t="shared" si="7"/>
        <v>1</v>
      </c>
      <c r="AE112" s="3">
        <f t="shared" si="8"/>
        <v>1</v>
      </c>
      <c r="AF112" s="43">
        <f t="shared" si="9"/>
        <v>43.36</v>
      </c>
      <c r="AG112" s="44">
        <f t="shared" si="10"/>
        <v>13920.19</v>
      </c>
      <c r="AH112" s="45">
        <f t="shared" si="11"/>
        <v>13.23333333</v>
      </c>
      <c r="AI112" s="46">
        <f t="shared" si="12"/>
        <v>0.003012371624</v>
      </c>
      <c r="AJ112" s="47">
        <f t="shared" si="13"/>
        <v>0</v>
      </c>
      <c r="AK112" s="5"/>
      <c r="AL112" s="42">
        <f t="shared" si="14"/>
        <v>0</v>
      </c>
      <c r="AM112" s="3">
        <f t="shared" si="15"/>
        <v>1</v>
      </c>
      <c r="AN112" s="3">
        <f t="shared" si="16"/>
        <v>0</v>
      </c>
      <c r="AO112" s="3">
        <f t="shared" si="17"/>
        <v>0</v>
      </c>
      <c r="AP112" s="44">
        <f t="shared" si="18"/>
        <v>0</v>
      </c>
      <c r="AQ112" s="48">
        <f t="shared" si="19"/>
        <v>0</v>
      </c>
      <c r="AR112" s="46">
        <f t="shared" si="20"/>
        <v>0</v>
      </c>
      <c r="AS112" s="47">
        <f t="shared" si="21"/>
        <v>0</v>
      </c>
      <c r="AT112" s="5"/>
      <c r="AU112" s="49">
        <f t="shared" si="27"/>
        <v>13920.19</v>
      </c>
      <c r="AV112" s="50">
        <f t="shared" si="23"/>
        <v>1</v>
      </c>
      <c r="AW112" s="51">
        <f t="shared" si="24"/>
        <v>0.001350581187</v>
      </c>
      <c r="AX112" s="52">
        <f t="shared" si="25"/>
        <v>0</v>
      </c>
      <c r="AY112" s="5"/>
      <c r="AZ112" s="53">
        <f t="shared" si="26"/>
        <v>1</v>
      </c>
      <c r="BA112" s="5"/>
      <c r="BB112" s="5"/>
      <c r="BC112" s="5"/>
    </row>
    <row r="113" ht="12.75" customHeight="1">
      <c r="A113" s="25"/>
      <c r="B113" s="27" t="s">
        <v>233</v>
      </c>
      <c r="C113" s="27"/>
      <c r="D113" s="28">
        <v>16802.09</v>
      </c>
      <c r="E113" s="94" t="s">
        <v>49</v>
      </c>
      <c r="F113" s="30">
        <v>40147.0</v>
      </c>
      <c r="G113" s="31" t="s">
        <v>40</v>
      </c>
      <c r="H113" s="30">
        <v>40575.0</v>
      </c>
      <c r="I113" s="32">
        <f t="shared" si="1"/>
        <v>14.26666667</v>
      </c>
      <c r="J113" s="33" t="s">
        <v>232</v>
      </c>
      <c r="K113" s="34">
        <v>14450.0</v>
      </c>
      <c r="L113" s="35">
        <v>0.0</v>
      </c>
      <c r="M113" s="65">
        <v>0.0</v>
      </c>
      <c r="N113" s="65">
        <v>0.0</v>
      </c>
      <c r="O113" s="65">
        <f t="shared" si="38"/>
        <v>2352.09</v>
      </c>
      <c r="P113" s="35">
        <f t="shared" si="3"/>
        <v>2352.09</v>
      </c>
      <c r="Q113" s="36">
        <f t="shared" si="4"/>
        <v>0.139987942</v>
      </c>
      <c r="R113" s="36">
        <f t="shared" si="5"/>
        <v>0.860012058</v>
      </c>
      <c r="S113" s="37"/>
      <c r="T113" s="5"/>
      <c r="U113" s="54"/>
      <c r="V113" s="55"/>
      <c r="W113" s="55"/>
      <c r="X113" s="56"/>
      <c r="Y113" s="55"/>
      <c r="Z113" s="55"/>
      <c r="AA113" s="57"/>
      <c r="AB113" s="5"/>
      <c r="AC113" s="42">
        <f t="shared" si="6"/>
        <v>1</v>
      </c>
      <c r="AD113" s="3">
        <f t="shared" si="7"/>
        <v>1</v>
      </c>
      <c r="AE113" s="3">
        <f t="shared" si="8"/>
        <v>1</v>
      </c>
      <c r="AF113" s="43">
        <f t="shared" si="9"/>
        <v>0</v>
      </c>
      <c r="AG113" s="44">
        <f t="shared" si="10"/>
        <v>16802.09</v>
      </c>
      <c r="AH113" s="45">
        <f t="shared" si="11"/>
        <v>14.26666667</v>
      </c>
      <c r="AI113" s="46">
        <f t="shared" si="12"/>
        <v>0.003636023585</v>
      </c>
      <c r="AJ113" s="47">
        <f t="shared" si="13"/>
        <v>0.0005089994586</v>
      </c>
      <c r="AK113" s="5"/>
      <c r="AL113" s="42">
        <f t="shared" si="14"/>
        <v>0</v>
      </c>
      <c r="AM113" s="3">
        <f t="shared" si="15"/>
        <v>1</v>
      </c>
      <c r="AN113" s="3">
        <f t="shared" si="16"/>
        <v>0</v>
      </c>
      <c r="AO113" s="3">
        <f t="shared" si="17"/>
        <v>0</v>
      </c>
      <c r="AP113" s="44">
        <f t="shared" si="18"/>
        <v>0</v>
      </c>
      <c r="AQ113" s="48">
        <f t="shared" si="19"/>
        <v>0</v>
      </c>
      <c r="AR113" s="46">
        <f t="shared" si="20"/>
        <v>0</v>
      </c>
      <c r="AS113" s="47">
        <f t="shared" si="21"/>
        <v>0</v>
      </c>
      <c r="AT113" s="5"/>
      <c r="AU113" s="49">
        <f t="shared" si="27"/>
        <v>16802.09</v>
      </c>
      <c r="AV113" s="50">
        <f t="shared" si="23"/>
        <v>1</v>
      </c>
      <c r="AW113" s="51">
        <f t="shared" si="24"/>
        <v>0.001630192307</v>
      </c>
      <c r="AX113" s="52">
        <f t="shared" si="25"/>
        <v>0.0002282072661</v>
      </c>
      <c r="AY113" s="5"/>
      <c r="AZ113" s="53">
        <f t="shared" si="26"/>
        <v>1</v>
      </c>
      <c r="BA113" s="5"/>
      <c r="BB113" s="5"/>
      <c r="BC113" s="5"/>
    </row>
    <row r="114" ht="12.75" customHeight="1">
      <c r="A114" s="25"/>
      <c r="B114" s="27" t="s">
        <v>234</v>
      </c>
      <c r="C114" s="27"/>
      <c r="D114" s="28">
        <v>27584.95</v>
      </c>
      <c r="E114" s="94" t="s">
        <v>39</v>
      </c>
      <c r="F114" s="30">
        <v>40148.0</v>
      </c>
      <c r="G114" s="31" t="s">
        <v>40</v>
      </c>
      <c r="H114" s="30">
        <v>40369.0</v>
      </c>
      <c r="I114" s="32">
        <f t="shared" si="1"/>
        <v>7.366666667</v>
      </c>
      <c r="J114" s="33" t="s">
        <v>129</v>
      </c>
      <c r="K114" s="34">
        <v>26000.0</v>
      </c>
      <c r="L114" s="35">
        <v>271.85</v>
      </c>
      <c r="M114" s="65">
        <f>209.45+608.02</f>
        <v>817.47</v>
      </c>
      <c r="N114" s="65">
        <f>376.45+4.04+4.17+0.79+45.15+14.72+114.29+5.67+187.04</f>
        <v>752.32</v>
      </c>
      <c r="O114" s="65">
        <f t="shared" si="38"/>
        <v>1584.95</v>
      </c>
      <c r="P114" s="35">
        <f t="shared" si="3"/>
        <v>3426.59</v>
      </c>
      <c r="Q114" s="36">
        <f t="shared" si="4"/>
        <v>0.1242195473</v>
      </c>
      <c r="R114" s="36">
        <f t="shared" si="5"/>
        <v>0.8757804527</v>
      </c>
      <c r="S114" s="37"/>
      <c r="T114" s="5"/>
      <c r="U114" s="54"/>
      <c r="V114" s="55"/>
      <c r="W114" s="55"/>
      <c r="X114" s="56"/>
      <c r="Y114" s="55"/>
      <c r="Z114" s="55"/>
      <c r="AA114" s="57"/>
      <c r="AB114" s="5"/>
      <c r="AC114" s="42">
        <f t="shared" si="6"/>
        <v>0</v>
      </c>
      <c r="AD114" s="3">
        <f t="shared" si="7"/>
        <v>1</v>
      </c>
      <c r="AE114" s="3">
        <f t="shared" si="8"/>
        <v>0</v>
      </c>
      <c r="AF114" s="43">
        <f t="shared" si="9"/>
        <v>0</v>
      </c>
      <c r="AG114" s="44">
        <f t="shared" si="10"/>
        <v>0</v>
      </c>
      <c r="AH114" s="45">
        <f t="shared" si="11"/>
        <v>0</v>
      </c>
      <c r="AI114" s="46">
        <f t="shared" si="12"/>
        <v>0</v>
      </c>
      <c r="AJ114" s="47">
        <f t="shared" si="13"/>
        <v>0</v>
      </c>
      <c r="AK114" s="5"/>
      <c r="AL114" s="42">
        <f t="shared" si="14"/>
        <v>1</v>
      </c>
      <c r="AM114" s="3">
        <f t="shared" si="15"/>
        <v>1</v>
      </c>
      <c r="AN114" s="3">
        <f t="shared" si="16"/>
        <v>1</v>
      </c>
      <c r="AO114" s="3">
        <f t="shared" si="17"/>
        <v>1569.79</v>
      </c>
      <c r="AP114" s="44">
        <f t="shared" si="18"/>
        <v>27584.95</v>
      </c>
      <c r="AQ114" s="48">
        <f t="shared" si="19"/>
        <v>7.366666667</v>
      </c>
      <c r="AR114" s="46">
        <f t="shared" si="20"/>
        <v>0.004838998467</v>
      </c>
      <c r="AS114" s="47">
        <f t="shared" si="21"/>
        <v>0.0006010981987</v>
      </c>
      <c r="AT114" s="5"/>
      <c r="AU114" s="49">
        <f t="shared" si="27"/>
        <v>27584.95</v>
      </c>
      <c r="AV114" s="50">
        <f t="shared" si="23"/>
        <v>1</v>
      </c>
      <c r="AW114" s="51">
        <f t="shared" si="24"/>
        <v>0.002676379741</v>
      </c>
      <c r="AX114" s="52">
        <f t="shared" si="25"/>
        <v>0.0003324586797</v>
      </c>
      <c r="AY114" s="5"/>
      <c r="AZ114" s="53">
        <f t="shared" si="26"/>
        <v>1</v>
      </c>
      <c r="BA114" s="5"/>
      <c r="BB114" s="5"/>
      <c r="BC114" s="5"/>
    </row>
    <row r="115" ht="12.75" customHeight="1">
      <c r="A115" s="25"/>
      <c r="B115" s="27" t="s">
        <v>235</v>
      </c>
      <c r="C115" s="27"/>
      <c r="D115" s="28">
        <v>16689.91</v>
      </c>
      <c r="E115" s="94" t="s">
        <v>49</v>
      </c>
      <c r="F115" s="30">
        <v>40148.0</v>
      </c>
      <c r="G115" s="31" t="s">
        <v>40</v>
      </c>
      <c r="H115" s="30">
        <v>41120.0</v>
      </c>
      <c r="I115" s="32">
        <f t="shared" si="1"/>
        <v>32.4</v>
      </c>
      <c r="J115" s="33" t="s">
        <v>66</v>
      </c>
      <c r="K115" s="34">
        <v>23000.0</v>
      </c>
      <c r="L115" s="35">
        <v>0.0</v>
      </c>
      <c r="M115" s="65">
        <v>0.0</v>
      </c>
      <c r="N115" s="65">
        <v>0.0</v>
      </c>
      <c r="O115" s="65">
        <f t="shared" si="38"/>
        <v>0</v>
      </c>
      <c r="P115" s="35">
        <f t="shared" si="3"/>
        <v>0</v>
      </c>
      <c r="Q115" s="36">
        <f t="shared" si="4"/>
        <v>0</v>
      </c>
      <c r="R115" s="36">
        <f t="shared" si="5"/>
        <v>1</v>
      </c>
      <c r="S115" s="37"/>
      <c r="T115" s="5"/>
      <c r="U115" s="54"/>
      <c r="V115" s="55"/>
      <c r="W115" s="55"/>
      <c r="X115" s="56"/>
      <c r="Y115" s="55"/>
      <c r="Z115" s="55"/>
      <c r="AA115" s="57"/>
      <c r="AB115" s="5"/>
      <c r="AC115" s="42">
        <f t="shared" si="6"/>
        <v>1</v>
      </c>
      <c r="AD115" s="3">
        <f t="shared" si="7"/>
        <v>1</v>
      </c>
      <c r="AE115" s="3">
        <f t="shared" si="8"/>
        <v>1</v>
      </c>
      <c r="AF115" s="43">
        <f t="shared" si="9"/>
        <v>0</v>
      </c>
      <c r="AG115" s="44">
        <f t="shared" si="10"/>
        <v>16689.91</v>
      </c>
      <c r="AH115" s="45">
        <f t="shared" si="11"/>
        <v>32.4</v>
      </c>
      <c r="AI115" s="46">
        <f t="shared" si="12"/>
        <v>0.00361174749</v>
      </c>
      <c r="AJ115" s="47">
        <f t="shared" si="13"/>
        <v>0</v>
      </c>
      <c r="AK115" s="5"/>
      <c r="AL115" s="42">
        <f t="shared" si="14"/>
        <v>0</v>
      </c>
      <c r="AM115" s="3">
        <f t="shared" si="15"/>
        <v>1</v>
      </c>
      <c r="AN115" s="3">
        <f t="shared" si="16"/>
        <v>0</v>
      </c>
      <c r="AO115" s="3">
        <f t="shared" si="17"/>
        <v>0</v>
      </c>
      <c r="AP115" s="44">
        <f t="shared" si="18"/>
        <v>0</v>
      </c>
      <c r="AQ115" s="48">
        <f t="shared" si="19"/>
        <v>0</v>
      </c>
      <c r="AR115" s="46">
        <f t="shared" si="20"/>
        <v>0</v>
      </c>
      <c r="AS115" s="47">
        <f t="shared" si="21"/>
        <v>0</v>
      </c>
      <c r="AT115" s="5"/>
      <c r="AU115" s="49">
        <f t="shared" si="27"/>
        <v>16689.91</v>
      </c>
      <c r="AV115" s="50">
        <f t="shared" si="23"/>
        <v>1</v>
      </c>
      <c r="AW115" s="51">
        <f t="shared" si="24"/>
        <v>0.001619308246</v>
      </c>
      <c r="AX115" s="52">
        <f t="shared" si="25"/>
        <v>0</v>
      </c>
      <c r="AY115" s="5"/>
      <c r="AZ115" s="53">
        <f t="shared" si="26"/>
        <v>1</v>
      </c>
      <c r="BA115" s="5"/>
      <c r="BB115" s="5"/>
      <c r="BC115" s="5"/>
    </row>
    <row r="116" ht="12.75" customHeight="1">
      <c r="A116" s="25"/>
      <c r="B116" s="27" t="s">
        <v>79</v>
      </c>
      <c r="C116" s="27"/>
      <c r="D116" s="28">
        <v>9277.43</v>
      </c>
      <c r="E116" s="94" t="s">
        <v>49</v>
      </c>
      <c r="F116" s="30">
        <v>40148.0</v>
      </c>
      <c r="G116" s="30" t="s">
        <v>40</v>
      </c>
      <c r="H116" s="30">
        <v>41121.0</v>
      </c>
      <c r="I116" s="32">
        <f t="shared" si="1"/>
        <v>32.43333333</v>
      </c>
      <c r="J116" s="33" t="s">
        <v>236</v>
      </c>
      <c r="K116" s="34">
        <v>9000.0</v>
      </c>
      <c r="L116" s="35">
        <v>0.0</v>
      </c>
      <c r="M116" s="65">
        <v>0.0</v>
      </c>
      <c r="N116" s="65">
        <v>0.0</v>
      </c>
      <c r="O116" s="65">
        <f t="shared" si="38"/>
        <v>277.43</v>
      </c>
      <c r="P116" s="35">
        <f t="shared" si="3"/>
        <v>277.43</v>
      </c>
      <c r="Q116" s="36">
        <f t="shared" si="4"/>
        <v>0.02990375567</v>
      </c>
      <c r="R116" s="36">
        <f t="shared" si="5"/>
        <v>0.9700962443</v>
      </c>
      <c r="S116" s="37"/>
      <c r="T116" s="5"/>
      <c r="U116" s="54"/>
      <c r="V116" s="55"/>
      <c r="W116" s="55"/>
      <c r="X116" s="56"/>
      <c r="Y116" s="55"/>
      <c r="Z116" s="55"/>
      <c r="AA116" s="57"/>
      <c r="AB116" s="5"/>
      <c r="AC116" s="42">
        <f t="shared" si="6"/>
        <v>1</v>
      </c>
      <c r="AD116" s="3">
        <f t="shared" si="7"/>
        <v>1</v>
      </c>
      <c r="AE116" s="3">
        <f t="shared" si="8"/>
        <v>1</v>
      </c>
      <c r="AF116" s="43">
        <f t="shared" si="9"/>
        <v>0</v>
      </c>
      <c r="AG116" s="44">
        <f t="shared" si="10"/>
        <v>9277.43</v>
      </c>
      <c r="AH116" s="45">
        <f t="shared" si="11"/>
        <v>32.43333333</v>
      </c>
      <c r="AI116" s="46">
        <f t="shared" si="12"/>
        <v>0.002007664182</v>
      </c>
      <c r="AJ116" s="47">
        <f t="shared" si="13"/>
        <v>0.00006003669919</v>
      </c>
      <c r="AK116" s="5"/>
      <c r="AL116" s="42">
        <f t="shared" si="14"/>
        <v>0</v>
      </c>
      <c r="AM116" s="3">
        <f t="shared" si="15"/>
        <v>1</v>
      </c>
      <c r="AN116" s="3">
        <f t="shared" si="16"/>
        <v>0</v>
      </c>
      <c r="AO116" s="3">
        <f t="shared" si="17"/>
        <v>0</v>
      </c>
      <c r="AP116" s="44">
        <f t="shared" si="18"/>
        <v>0</v>
      </c>
      <c r="AQ116" s="48">
        <f t="shared" si="19"/>
        <v>0</v>
      </c>
      <c r="AR116" s="46">
        <f t="shared" si="20"/>
        <v>0</v>
      </c>
      <c r="AS116" s="47">
        <f t="shared" si="21"/>
        <v>0</v>
      </c>
      <c r="AT116" s="5"/>
      <c r="AU116" s="49">
        <f t="shared" si="27"/>
        <v>9277.43</v>
      </c>
      <c r="AV116" s="50">
        <f t="shared" si="23"/>
        <v>1</v>
      </c>
      <c r="AW116" s="51">
        <f t="shared" si="24"/>
        <v>0.0009001258185</v>
      </c>
      <c r="AX116" s="52">
        <f t="shared" si="25"/>
        <v>0.00002691714255</v>
      </c>
      <c r="AY116" s="5"/>
      <c r="AZ116" s="53">
        <f t="shared" si="26"/>
        <v>1</v>
      </c>
      <c r="BA116" s="5"/>
      <c r="BB116" s="5"/>
      <c r="BC116" s="5"/>
    </row>
    <row r="117" ht="12.75" customHeight="1">
      <c r="A117" s="25"/>
      <c r="B117" s="27" t="s">
        <v>237</v>
      </c>
      <c r="C117" s="27"/>
      <c r="D117" s="28">
        <v>20844.0</v>
      </c>
      <c r="E117" s="94" t="s">
        <v>39</v>
      </c>
      <c r="F117" s="30">
        <v>40188.0</v>
      </c>
      <c r="G117" s="31" t="s">
        <v>40</v>
      </c>
      <c r="H117" s="30">
        <v>40188.0</v>
      </c>
      <c r="I117" s="32">
        <f t="shared" si="1"/>
        <v>0</v>
      </c>
      <c r="J117" s="33" t="s">
        <v>238</v>
      </c>
      <c r="K117" s="34">
        <v>20000.0</v>
      </c>
      <c r="L117" s="35">
        <v>0.0</v>
      </c>
      <c r="M117" s="65">
        <f>18.89+150</f>
        <v>168.89</v>
      </c>
      <c r="N117" s="65">
        <f>12.9+900</f>
        <v>912.9</v>
      </c>
      <c r="O117" s="65">
        <f t="shared" si="38"/>
        <v>844</v>
      </c>
      <c r="P117" s="35">
        <f t="shared" si="3"/>
        <v>1925.79</v>
      </c>
      <c r="Q117" s="36">
        <f t="shared" si="4"/>
        <v>0.092390616</v>
      </c>
      <c r="R117" s="36">
        <f t="shared" si="5"/>
        <v>0.907609384</v>
      </c>
      <c r="S117" s="37"/>
      <c r="T117" s="5"/>
      <c r="U117" s="54"/>
      <c r="V117" s="55"/>
      <c r="W117" s="55"/>
      <c r="X117" s="56"/>
      <c r="Y117" s="55"/>
      <c r="Z117" s="55"/>
      <c r="AA117" s="57"/>
      <c r="AB117" s="5"/>
      <c r="AC117" s="42">
        <f t="shared" si="6"/>
        <v>0</v>
      </c>
      <c r="AD117" s="3">
        <f t="shared" si="7"/>
        <v>1</v>
      </c>
      <c r="AE117" s="3">
        <f t="shared" si="8"/>
        <v>0</v>
      </c>
      <c r="AF117" s="43">
        <f t="shared" si="9"/>
        <v>0</v>
      </c>
      <c r="AG117" s="44">
        <f t="shared" si="10"/>
        <v>0</v>
      </c>
      <c r="AH117" s="45">
        <f t="shared" si="11"/>
        <v>0</v>
      </c>
      <c r="AI117" s="46">
        <f t="shared" si="12"/>
        <v>0</v>
      </c>
      <c r="AJ117" s="47">
        <f t="shared" si="13"/>
        <v>0</v>
      </c>
      <c r="AK117" s="5"/>
      <c r="AL117" s="42">
        <f t="shared" si="14"/>
        <v>1</v>
      </c>
      <c r="AM117" s="3">
        <f t="shared" si="15"/>
        <v>1</v>
      </c>
      <c r="AN117" s="3">
        <f t="shared" si="16"/>
        <v>1</v>
      </c>
      <c r="AO117" s="3">
        <f t="shared" si="17"/>
        <v>1081.79</v>
      </c>
      <c r="AP117" s="44">
        <f t="shared" si="18"/>
        <v>20844</v>
      </c>
      <c r="AQ117" s="48">
        <f t="shared" si="19"/>
        <v>0</v>
      </c>
      <c r="AR117" s="46">
        <f t="shared" si="20"/>
        <v>0.003656489645</v>
      </c>
      <c r="AS117" s="47">
        <f t="shared" si="21"/>
        <v>0.0003378253307</v>
      </c>
      <c r="AT117" s="5"/>
      <c r="AU117" s="49">
        <f t="shared" si="27"/>
        <v>20844</v>
      </c>
      <c r="AV117" s="50">
        <f t="shared" si="23"/>
        <v>1</v>
      </c>
      <c r="AW117" s="51">
        <f t="shared" si="24"/>
        <v>0.002022351294</v>
      </c>
      <c r="AX117" s="52">
        <f t="shared" si="25"/>
        <v>0.0001868462818</v>
      </c>
      <c r="AY117" s="5"/>
      <c r="AZ117" s="53">
        <f t="shared" si="26"/>
        <v>1</v>
      </c>
      <c r="BA117" s="5"/>
      <c r="BB117" s="5"/>
      <c r="BC117" s="5"/>
    </row>
    <row r="118" ht="12.75" customHeight="1">
      <c r="A118" s="25"/>
      <c r="B118" s="27" t="s">
        <v>239</v>
      </c>
      <c r="C118" s="27"/>
      <c r="D118" s="28">
        <v>33875.0</v>
      </c>
      <c r="E118" s="94" t="s">
        <v>39</v>
      </c>
      <c r="F118" s="30">
        <v>40188.0</v>
      </c>
      <c r="G118" s="31" t="s">
        <v>40</v>
      </c>
      <c r="H118" s="30">
        <v>40219.0</v>
      </c>
      <c r="I118" s="32">
        <f t="shared" si="1"/>
        <v>1.033333333</v>
      </c>
      <c r="J118" s="33" t="s">
        <v>240</v>
      </c>
      <c r="K118" s="34">
        <v>37000.0</v>
      </c>
      <c r="L118" s="35">
        <v>0.0</v>
      </c>
      <c r="M118" s="65">
        <v>0.0</v>
      </c>
      <c r="N118" s="65">
        <v>0.0</v>
      </c>
      <c r="O118" s="65">
        <f t="shared" si="38"/>
        <v>0</v>
      </c>
      <c r="P118" s="35">
        <f t="shared" si="3"/>
        <v>0</v>
      </c>
      <c r="Q118" s="36">
        <f t="shared" si="4"/>
        <v>0</v>
      </c>
      <c r="R118" s="36">
        <f t="shared" si="5"/>
        <v>1</v>
      </c>
      <c r="S118" s="37"/>
      <c r="T118" s="5"/>
      <c r="U118" s="54"/>
      <c r="V118" s="55"/>
      <c r="W118" s="55"/>
      <c r="X118" s="56"/>
      <c r="Y118" s="55"/>
      <c r="Z118" s="55"/>
      <c r="AA118" s="57"/>
      <c r="AB118" s="5"/>
      <c r="AC118" s="42">
        <f t="shared" si="6"/>
        <v>0</v>
      </c>
      <c r="AD118" s="3">
        <f t="shared" si="7"/>
        <v>1</v>
      </c>
      <c r="AE118" s="3">
        <f t="shared" si="8"/>
        <v>0</v>
      </c>
      <c r="AF118" s="43">
        <f t="shared" si="9"/>
        <v>0</v>
      </c>
      <c r="AG118" s="44">
        <f t="shared" si="10"/>
        <v>0</v>
      </c>
      <c r="AH118" s="45">
        <f t="shared" si="11"/>
        <v>0</v>
      </c>
      <c r="AI118" s="46">
        <f t="shared" si="12"/>
        <v>0</v>
      </c>
      <c r="AJ118" s="47">
        <f t="shared" si="13"/>
        <v>0</v>
      </c>
      <c r="AK118" s="5"/>
      <c r="AL118" s="42">
        <f t="shared" si="14"/>
        <v>1</v>
      </c>
      <c r="AM118" s="3">
        <f t="shared" si="15"/>
        <v>1</v>
      </c>
      <c r="AN118" s="3">
        <f t="shared" si="16"/>
        <v>1</v>
      </c>
      <c r="AO118" s="3">
        <f t="shared" si="17"/>
        <v>0</v>
      </c>
      <c r="AP118" s="44">
        <f t="shared" si="18"/>
        <v>33875</v>
      </c>
      <c r="AQ118" s="48">
        <f t="shared" si="19"/>
        <v>1.033333333</v>
      </c>
      <c r="AR118" s="46">
        <f t="shared" si="20"/>
        <v>0.00594240965</v>
      </c>
      <c r="AS118" s="47">
        <f t="shared" si="21"/>
        <v>0</v>
      </c>
      <c r="AT118" s="5"/>
      <c r="AU118" s="49">
        <f t="shared" si="27"/>
        <v>33875</v>
      </c>
      <c r="AV118" s="50">
        <f t="shared" si="23"/>
        <v>1</v>
      </c>
      <c r="AW118" s="51">
        <f t="shared" si="24"/>
        <v>0.003286660433</v>
      </c>
      <c r="AX118" s="52">
        <f t="shared" si="25"/>
        <v>0</v>
      </c>
      <c r="AY118" s="5"/>
      <c r="AZ118" s="53">
        <f t="shared" si="26"/>
        <v>1</v>
      </c>
      <c r="BA118" s="5"/>
      <c r="BB118" s="5"/>
      <c r="BC118" s="5"/>
    </row>
    <row r="119" ht="12.75" customHeight="1">
      <c r="A119" s="25"/>
      <c r="B119" s="27" t="s">
        <v>241</v>
      </c>
      <c r="C119" s="27"/>
      <c r="D119" s="28">
        <v>29912.0</v>
      </c>
      <c r="E119" s="94" t="s">
        <v>39</v>
      </c>
      <c r="F119" s="30">
        <v>40188.0</v>
      </c>
      <c r="G119" s="31" t="s">
        <v>40</v>
      </c>
      <c r="H119" s="30">
        <v>40245.0</v>
      </c>
      <c r="I119" s="32">
        <f t="shared" si="1"/>
        <v>1.9</v>
      </c>
      <c r="J119" s="33" t="s">
        <v>129</v>
      </c>
      <c r="K119" s="34">
        <v>29911.6</v>
      </c>
      <c r="L119" s="35">
        <f>33.84+7.48+47.8+18.04+52+7.72+987.31</f>
        <v>1154.19</v>
      </c>
      <c r="M119" s="65">
        <f>150.96+150</f>
        <v>300.96</v>
      </c>
      <c r="N119" s="65">
        <f>142.51+12+42+200.52+545.55+12.54+962.61+2+4.04+4.16+123+21.1+1.33+26.63+21+13.89+20</f>
        <v>2154.88</v>
      </c>
      <c r="O119" s="65">
        <f t="shared" si="38"/>
        <v>0.4</v>
      </c>
      <c r="P119" s="35">
        <f t="shared" si="3"/>
        <v>3610.43</v>
      </c>
      <c r="Q119" s="36">
        <f t="shared" si="4"/>
        <v>0.1207017251</v>
      </c>
      <c r="R119" s="36">
        <f t="shared" si="5"/>
        <v>0.8792982749</v>
      </c>
      <c r="S119" s="37"/>
      <c r="T119" s="5"/>
      <c r="U119" s="54"/>
      <c r="V119" s="55"/>
      <c r="W119" s="55"/>
      <c r="X119" s="56"/>
      <c r="Y119" s="55"/>
      <c r="Z119" s="55"/>
      <c r="AA119" s="57"/>
      <c r="AB119" s="5"/>
      <c r="AC119" s="42">
        <f t="shared" si="6"/>
        <v>0</v>
      </c>
      <c r="AD119" s="3">
        <f t="shared" si="7"/>
        <v>1</v>
      </c>
      <c r="AE119" s="3">
        <f t="shared" si="8"/>
        <v>0</v>
      </c>
      <c r="AF119" s="43">
        <f t="shared" si="9"/>
        <v>0</v>
      </c>
      <c r="AG119" s="44">
        <f t="shared" si="10"/>
        <v>0</v>
      </c>
      <c r="AH119" s="45">
        <f t="shared" si="11"/>
        <v>0</v>
      </c>
      <c r="AI119" s="46">
        <f t="shared" si="12"/>
        <v>0</v>
      </c>
      <c r="AJ119" s="47">
        <f t="shared" si="13"/>
        <v>0</v>
      </c>
      <c r="AK119" s="5"/>
      <c r="AL119" s="42">
        <f t="shared" si="14"/>
        <v>1</v>
      </c>
      <c r="AM119" s="3">
        <f t="shared" si="15"/>
        <v>1</v>
      </c>
      <c r="AN119" s="3">
        <f t="shared" si="16"/>
        <v>1</v>
      </c>
      <c r="AO119" s="3">
        <f t="shared" si="17"/>
        <v>2455.84</v>
      </c>
      <c r="AP119" s="44">
        <f t="shared" si="18"/>
        <v>29912</v>
      </c>
      <c r="AQ119" s="48">
        <f t="shared" si="19"/>
        <v>1.9</v>
      </c>
      <c r="AR119" s="46">
        <f t="shared" si="20"/>
        <v>0.005247213504</v>
      </c>
      <c r="AS119" s="47">
        <f t="shared" si="21"/>
        <v>0.0006333477217</v>
      </c>
      <c r="AT119" s="5"/>
      <c r="AU119" s="49">
        <f t="shared" si="27"/>
        <v>29912</v>
      </c>
      <c r="AV119" s="50">
        <f t="shared" si="23"/>
        <v>1</v>
      </c>
      <c r="AW119" s="51">
        <f t="shared" si="24"/>
        <v>0.002902157546</v>
      </c>
      <c r="AX119" s="52">
        <f t="shared" si="25"/>
        <v>0.0003502954222</v>
      </c>
      <c r="AY119" s="5"/>
      <c r="AZ119" s="53">
        <f t="shared" si="26"/>
        <v>1</v>
      </c>
      <c r="BA119" s="5"/>
      <c r="BB119" s="5"/>
      <c r="BC119" s="5"/>
    </row>
    <row r="120" ht="12.75" customHeight="1">
      <c r="A120" s="69"/>
      <c r="B120" s="27" t="s">
        <v>242</v>
      </c>
      <c r="C120" s="27"/>
      <c r="D120" s="28">
        <v>20514.77</v>
      </c>
      <c r="E120" s="94" t="s">
        <v>39</v>
      </c>
      <c r="F120" s="30">
        <v>40188.0</v>
      </c>
      <c r="G120" s="31" t="s">
        <v>40</v>
      </c>
      <c r="H120" s="30">
        <v>40308.0</v>
      </c>
      <c r="I120" s="32">
        <f t="shared" si="1"/>
        <v>4</v>
      </c>
      <c r="J120" s="33" t="s">
        <v>129</v>
      </c>
      <c r="K120" s="34">
        <v>22700.0</v>
      </c>
      <c r="L120" s="35">
        <f>618.39</f>
        <v>618.39</v>
      </c>
      <c r="M120" s="65">
        <v>0.0</v>
      </c>
      <c r="N120" s="65">
        <v>0.0</v>
      </c>
      <c r="O120" s="65">
        <v>0.0</v>
      </c>
      <c r="P120" s="35">
        <f t="shared" si="3"/>
        <v>0</v>
      </c>
      <c r="Q120" s="36">
        <f t="shared" si="4"/>
        <v>0</v>
      </c>
      <c r="R120" s="36">
        <f t="shared" si="5"/>
        <v>1</v>
      </c>
      <c r="S120" s="37"/>
      <c r="T120" s="5"/>
      <c r="U120" s="54"/>
      <c r="V120" s="55"/>
      <c r="W120" s="55"/>
      <c r="X120" s="56"/>
      <c r="Y120" s="55"/>
      <c r="Z120" s="55"/>
      <c r="AA120" s="57"/>
      <c r="AB120" s="5"/>
      <c r="AC120" s="42">
        <f t="shared" si="6"/>
        <v>0</v>
      </c>
      <c r="AD120" s="3">
        <f t="shared" si="7"/>
        <v>1</v>
      </c>
      <c r="AE120" s="3">
        <f t="shared" si="8"/>
        <v>0</v>
      </c>
      <c r="AF120" s="43">
        <f t="shared" si="9"/>
        <v>0</v>
      </c>
      <c r="AG120" s="44">
        <f t="shared" si="10"/>
        <v>0</v>
      </c>
      <c r="AH120" s="45">
        <f t="shared" si="11"/>
        <v>0</v>
      </c>
      <c r="AI120" s="46">
        <f t="shared" si="12"/>
        <v>0</v>
      </c>
      <c r="AJ120" s="47">
        <f t="shared" si="13"/>
        <v>0</v>
      </c>
      <c r="AK120" s="5"/>
      <c r="AL120" s="42">
        <f t="shared" si="14"/>
        <v>1</v>
      </c>
      <c r="AM120" s="3">
        <f t="shared" si="15"/>
        <v>1</v>
      </c>
      <c r="AN120" s="3">
        <f t="shared" si="16"/>
        <v>1</v>
      </c>
      <c r="AO120" s="3">
        <f t="shared" si="17"/>
        <v>0</v>
      </c>
      <c r="AP120" s="44">
        <f t="shared" si="18"/>
        <v>20514.77</v>
      </c>
      <c r="AQ120" s="48">
        <f t="shared" si="19"/>
        <v>4</v>
      </c>
      <c r="AR120" s="46">
        <f t="shared" si="20"/>
        <v>0.003598735563</v>
      </c>
      <c r="AS120" s="47">
        <f t="shared" si="21"/>
        <v>0</v>
      </c>
      <c r="AT120" s="5"/>
      <c r="AU120" s="49">
        <f t="shared" si="27"/>
        <v>20514.77</v>
      </c>
      <c r="AV120" s="50">
        <f t="shared" si="23"/>
        <v>1</v>
      </c>
      <c r="AW120" s="51">
        <f t="shared" si="24"/>
        <v>0.00199040835</v>
      </c>
      <c r="AX120" s="52">
        <f t="shared" si="25"/>
        <v>0</v>
      </c>
      <c r="AY120" s="5"/>
      <c r="AZ120" s="53">
        <f t="shared" si="26"/>
        <v>1</v>
      </c>
      <c r="BA120" s="5"/>
      <c r="BB120" s="5"/>
      <c r="BC120" s="5"/>
    </row>
    <row r="121" ht="12.75" customHeight="1">
      <c r="A121" s="25"/>
      <c r="B121" s="92" t="s">
        <v>243</v>
      </c>
      <c r="C121" s="92"/>
      <c r="D121" s="28">
        <v>26293.0</v>
      </c>
      <c r="E121" s="94" t="s">
        <v>39</v>
      </c>
      <c r="F121" s="30">
        <v>40219.0</v>
      </c>
      <c r="G121" s="31" t="s">
        <v>40</v>
      </c>
      <c r="H121" s="30">
        <v>40247.0</v>
      </c>
      <c r="I121" s="32">
        <f t="shared" si="1"/>
        <v>0.9333333333</v>
      </c>
      <c r="J121" s="33" t="s">
        <v>244</v>
      </c>
      <c r="K121" s="34">
        <v>18050.0</v>
      </c>
      <c r="L121" s="35">
        <f>7.47+1.65+10.55+3.87+13+1.9+101.33</f>
        <v>139.77</v>
      </c>
      <c r="M121" s="65">
        <v>0.0</v>
      </c>
      <c r="N121" s="65">
        <v>0.0</v>
      </c>
      <c r="O121" s="65">
        <f>IF(K121="N/A",0,IF(K121-D121&gt;0,0,D121-K121))</f>
        <v>8243</v>
      </c>
      <c r="P121" s="35">
        <f t="shared" si="3"/>
        <v>8382.77</v>
      </c>
      <c r="Q121" s="36">
        <f t="shared" si="4"/>
        <v>0.3188213593</v>
      </c>
      <c r="R121" s="36">
        <f t="shared" si="5"/>
        <v>0.6811786407</v>
      </c>
      <c r="S121" s="37"/>
      <c r="T121" s="5"/>
      <c r="U121" s="54"/>
      <c r="V121" s="55"/>
      <c r="W121" s="55"/>
      <c r="X121" s="56"/>
      <c r="Y121" s="55"/>
      <c r="Z121" s="55"/>
      <c r="AA121" s="57"/>
      <c r="AB121" s="5"/>
      <c r="AC121" s="42">
        <f t="shared" si="6"/>
        <v>0</v>
      </c>
      <c r="AD121" s="3">
        <f t="shared" si="7"/>
        <v>1</v>
      </c>
      <c r="AE121" s="3">
        <f t="shared" si="8"/>
        <v>0</v>
      </c>
      <c r="AF121" s="43">
        <f t="shared" si="9"/>
        <v>0</v>
      </c>
      <c r="AG121" s="44">
        <f t="shared" si="10"/>
        <v>0</v>
      </c>
      <c r="AH121" s="45">
        <f t="shared" si="11"/>
        <v>0</v>
      </c>
      <c r="AI121" s="46">
        <f t="shared" si="12"/>
        <v>0</v>
      </c>
      <c r="AJ121" s="47">
        <f t="shared" si="13"/>
        <v>0</v>
      </c>
      <c r="AK121" s="5"/>
      <c r="AL121" s="42">
        <f t="shared" si="14"/>
        <v>1</v>
      </c>
      <c r="AM121" s="3">
        <f t="shared" si="15"/>
        <v>1</v>
      </c>
      <c r="AN121" s="3">
        <f t="shared" si="16"/>
        <v>1</v>
      </c>
      <c r="AO121" s="3">
        <f t="shared" si="17"/>
        <v>0</v>
      </c>
      <c r="AP121" s="44">
        <f t="shared" si="18"/>
        <v>26293</v>
      </c>
      <c r="AQ121" s="48">
        <f t="shared" si="19"/>
        <v>0.9333333333</v>
      </c>
      <c r="AR121" s="46">
        <f t="shared" si="20"/>
        <v>0.004612362418</v>
      </c>
      <c r="AS121" s="47">
        <f t="shared" si="21"/>
        <v>0.001470519656</v>
      </c>
      <c r="AT121" s="5"/>
      <c r="AU121" s="49">
        <f t="shared" si="27"/>
        <v>26293</v>
      </c>
      <c r="AV121" s="50">
        <f t="shared" si="23"/>
        <v>1</v>
      </c>
      <c r="AW121" s="51">
        <f t="shared" si="24"/>
        <v>0.002551030635</v>
      </c>
      <c r="AX121" s="52">
        <f t="shared" si="25"/>
        <v>0.0008133230547</v>
      </c>
      <c r="AY121" s="5"/>
      <c r="AZ121" s="53">
        <f t="shared" si="26"/>
        <v>1</v>
      </c>
      <c r="BA121" s="5"/>
      <c r="BB121" s="5"/>
      <c r="BC121" s="5"/>
    </row>
    <row r="122" ht="12.75" customHeight="1">
      <c r="A122" s="25"/>
      <c r="B122" s="27" t="s">
        <v>245</v>
      </c>
      <c r="C122" s="27"/>
      <c r="D122" s="28">
        <v>38000.0</v>
      </c>
      <c r="E122" s="94" t="s">
        <v>39</v>
      </c>
      <c r="F122" s="30">
        <v>40219.0</v>
      </c>
      <c r="G122" s="31" t="s">
        <v>40</v>
      </c>
      <c r="H122" s="30">
        <v>40444.0</v>
      </c>
      <c r="I122" s="32">
        <f t="shared" si="1"/>
        <v>7.5</v>
      </c>
      <c r="J122" s="33" t="s">
        <v>246</v>
      </c>
      <c r="K122" s="34" t="s">
        <v>129</v>
      </c>
      <c r="L122" s="35">
        <v>0.0</v>
      </c>
      <c r="M122" s="65">
        <f>784.77</f>
        <v>784.77</v>
      </c>
      <c r="N122" s="65">
        <v>5.31</v>
      </c>
      <c r="O122" s="65">
        <v>0.0</v>
      </c>
      <c r="P122" s="35">
        <f t="shared" si="3"/>
        <v>0</v>
      </c>
      <c r="Q122" s="36">
        <f t="shared" si="4"/>
        <v>0</v>
      </c>
      <c r="R122" s="36">
        <f t="shared" si="5"/>
        <v>1</v>
      </c>
      <c r="S122" s="37"/>
      <c r="T122" s="5"/>
      <c r="U122" s="54"/>
      <c r="V122" s="55"/>
      <c r="W122" s="55"/>
      <c r="X122" s="56"/>
      <c r="Y122" s="55"/>
      <c r="Z122" s="55"/>
      <c r="AA122" s="57"/>
      <c r="AB122" s="5"/>
      <c r="AC122" s="42">
        <f t="shared" si="6"/>
        <v>0</v>
      </c>
      <c r="AD122" s="3">
        <f t="shared" si="7"/>
        <v>1</v>
      </c>
      <c r="AE122" s="3">
        <f t="shared" si="8"/>
        <v>0</v>
      </c>
      <c r="AF122" s="43">
        <f t="shared" si="9"/>
        <v>0</v>
      </c>
      <c r="AG122" s="44">
        <f t="shared" si="10"/>
        <v>0</v>
      </c>
      <c r="AH122" s="45">
        <f t="shared" si="11"/>
        <v>0</v>
      </c>
      <c r="AI122" s="46">
        <f t="shared" si="12"/>
        <v>0</v>
      </c>
      <c r="AJ122" s="47">
        <f t="shared" si="13"/>
        <v>0</v>
      </c>
      <c r="AK122" s="5"/>
      <c r="AL122" s="42">
        <f t="shared" si="14"/>
        <v>1</v>
      </c>
      <c r="AM122" s="3">
        <f t="shared" si="15"/>
        <v>1</v>
      </c>
      <c r="AN122" s="3">
        <f t="shared" si="16"/>
        <v>1</v>
      </c>
      <c r="AO122" s="3">
        <f t="shared" si="17"/>
        <v>790.08</v>
      </c>
      <c r="AP122" s="44">
        <f t="shared" si="18"/>
        <v>38000</v>
      </c>
      <c r="AQ122" s="48">
        <f t="shared" si="19"/>
        <v>7.5</v>
      </c>
      <c r="AR122" s="46">
        <f t="shared" si="20"/>
        <v>0.006666024109</v>
      </c>
      <c r="AS122" s="47">
        <f t="shared" si="21"/>
        <v>0</v>
      </c>
      <c r="AT122" s="5"/>
      <c r="AU122" s="49">
        <f t="shared" si="27"/>
        <v>38000</v>
      </c>
      <c r="AV122" s="50">
        <f t="shared" si="23"/>
        <v>1</v>
      </c>
      <c r="AW122" s="51">
        <f t="shared" si="24"/>
        <v>0.003686881076</v>
      </c>
      <c r="AX122" s="52">
        <f t="shared" si="25"/>
        <v>0</v>
      </c>
      <c r="AY122" s="5"/>
      <c r="AZ122" s="53">
        <f t="shared" si="26"/>
        <v>1</v>
      </c>
      <c r="BA122" s="5"/>
      <c r="BB122" s="5"/>
      <c r="BC122" s="5"/>
    </row>
    <row r="123" ht="12.75" customHeight="1">
      <c r="A123" s="25"/>
      <c r="B123" s="27" t="s">
        <v>247</v>
      </c>
      <c r="C123" s="27"/>
      <c r="D123" s="28">
        <v>62726.65</v>
      </c>
      <c r="E123" s="94" t="s">
        <v>39</v>
      </c>
      <c r="F123" s="30">
        <v>40221.0</v>
      </c>
      <c r="G123" s="31" t="s">
        <v>40</v>
      </c>
      <c r="H123" s="30">
        <v>40221.0</v>
      </c>
      <c r="I123" s="32">
        <f t="shared" si="1"/>
        <v>0</v>
      </c>
      <c r="J123" s="33" t="s">
        <v>129</v>
      </c>
      <c r="K123" s="34">
        <v>65000.0</v>
      </c>
      <c r="L123" s="35">
        <f>88.32+4.94+1399.57</f>
        <v>1492.83</v>
      </c>
      <c r="M123" s="65">
        <f>150+113.2</f>
        <v>263.2</v>
      </c>
      <c r="N123" s="65">
        <f>139.89+1760.28+8.34+23.73+4.04+13.28+18.08</f>
        <v>1967.64</v>
      </c>
      <c r="O123" s="65">
        <f t="shared" ref="O123:O127" si="39">IF(K123="N/A",0,IF(K123-D123&gt;0,0,D123-K123))</f>
        <v>0</v>
      </c>
      <c r="P123" s="35">
        <f t="shared" si="3"/>
        <v>1450.32</v>
      </c>
      <c r="Q123" s="36">
        <f t="shared" si="4"/>
        <v>0.02312127302</v>
      </c>
      <c r="R123" s="36">
        <f t="shared" si="5"/>
        <v>0.976878727</v>
      </c>
      <c r="S123" s="37"/>
      <c r="T123" s="5"/>
      <c r="U123" s="54"/>
      <c r="V123" s="55"/>
      <c r="W123" s="55"/>
      <c r="X123" s="56"/>
      <c r="Y123" s="55"/>
      <c r="Z123" s="55"/>
      <c r="AA123" s="57"/>
      <c r="AB123" s="5"/>
      <c r="AC123" s="42">
        <f t="shared" si="6"/>
        <v>0</v>
      </c>
      <c r="AD123" s="3">
        <f t="shared" si="7"/>
        <v>1</v>
      </c>
      <c r="AE123" s="3">
        <f t="shared" si="8"/>
        <v>0</v>
      </c>
      <c r="AF123" s="43">
        <f t="shared" si="9"/>
        <v>0</v>
      </c>
      <c r="AG123" s="44">
        <f t="shared" si="10"/>
        <v>0</v>
      </c>
      <c r="AH123" s="45">
        <f t="shared" si="11"/>
        <v>0</v>
      </c>
      <c r="AI123" s="46">
        <f t="shared" si="12"/>
        <v>0</v>
      </c>
      <c r="AJ123" s="47">
        <f t="shared" si="13"/>
        <v>0</v>
      </c>
      <c r="AK123" s="5"/>
      <c r="AL123" s="42">
        <f t="shared" si="14"/>
        <v>1</v>
      </c>
      <c r="AM123" s="3">
        <f t="shared" si="15"/>
        <v>1</v>
      </c>
      <c r="AN123" s="3">
        <f t="shared" si="16"/>
        <v>1</v>
      </c>
      <c r="AO123" s="3">
        <f t="shared" si="17"/>
        <v>2230.84</v>
      </c>
      <c r="AP123" s="44">
        <f t="shared" si="18"/>
        <v>62726.65</v>
      </c>
      <c r="AQ123" s="48">
        <f t="shared" si="19"/>
        <v>0</v>
      </c>
      <c r="AR123" s="46">
        <f t="shared" si="20"/>
        <v>0.01100361477</v>
      </c>
      <c r="AS123" s="47">
        <f t="shared" si="21"/>
        <v>0.0002544175812</v>
      </c>
      <c r="AT123" s="5"/>
      <c r="AU123" s="49">
        <f t="shared" si="27"/>
        <v>62726.65</v>
      </c>
      <c r="AV123" s="50">
        <f t="shared" si="23"/>
        <v>1</v>
      </c>
      <c r="AW123" s="51">
        <f t="shared" si="24"/>
        <v>0.006085939444</v>
      </c>
      <c r="AX123" s="52">
        <f t="shared" si="25"/>
        <v>0.0001407146674</v>
      </c>
      <c r="AY123" s="5"/>
      <c r="AZ123" s="53">
        <f t="shared" si="26"/>
        <v>1</v>
      </c>
      <c r="BA123" s="5"/>
      <c r="BB123" s="5"/>
      <c r="BC123" s="5"/>
    </row>
    <row r="124" ht="12.75" customHeight="1">
      <c r="A124" s="25"/>
      <c r="B124" s="27" t="s">
        <v>248</v>
      </c>
      <c r="C124" s="27"/>
      <c r="D124" s="28">
        <v>32596.0</v>
      </c>
      <c r="E124" s="94" t="s">
        <v>39</v>
      </c>
      <c r="F124" s="30">
        <v>40221.0</v>
      </c>
      <c r="G124" s="31" t="s">
        <v>40</v>
      </c>
      <c r="H124" s="30">
        <v>40267.0</v>
      </c>
      <c r="I124" s="32">
        <f t="shared" si="1"/>
        <v>1.533333333</v>
      </c>
      <c r="J124" s="33" t="s">
        <v>129</v>
      </c>
      <c r="K124" s="34">
        <v>25000.0</v>
      </c>
      <c r="L124" s="35">
        <v>0.0</v>
      </c>
      <c r="M124" s="65">
        <f>751.07+38.33</f>
        <v>789.4</v>
      </c>
      <c r="N124" s="65">
        <f>798.93+4.45+2+4.04+4.16+4.17+0.78</f>
        <v>818.53</v>
      </c>
      <c r="O124" s="65">
        <f t="shared" si="39"/>
        <v>7596</v>
      </c>
      <c r="P124" s="35">
        <f t="shared" si="3"/>
        <v>9203.93</v>
      </c>
      <c r="Q124" s="36">
        <f t="shared" si="4"/>
        <v>0.282363787</v>
      </c>
      <c r="R124" s="36">
        <f t="shared" si="5"/>
        <v>0.717636213</v>
      </c>
      <c r="S124" s="37"/>
      <c r="T124" s="5"/>
      <c r="U124" s="54"/>
      <c r="V124" s="55"/>
      <c r="W124" s="55"/>
      <c r="X124" s="56"/>
      <c r="Y124" s="55"/>
      <c r="Z124" s="55"/>
      <c r="AA124" s="57"/>
      <c r="AB124" s="5"/>
      <c r="AC124" s="42">
        <f t="shared" si="6"/>
        <v>0</v>
      </c>
      <c r="AD124" s="3">
        <f t="shared" si="7"/>
        <v>1</v>
      </c>
      <c r="AE124" s="3">
        <f t="shared" si="8"/>
        <v>0</v>
      </c>
      <c r="AF124" s="43">
        <f t="shared" si="9"/>
        <v>0</v>
      </c>
      <c r="AG124" s="44">
        <f t="shared" si="10"/>
        <v>0</v>
      </c>
      <c r="AH124" s="45">
        <f t="shared" si="11"/>
        <v>0</v>
      </c>
      <c r="AI124" s="46">
        <f t="shared" si="12"/>
        <v>0</v>
      </c>
      <c r="AJ124" s="47">
        <f t="shared" si="13"/>
        <v>0</v>
      </c>
      <c r="AK124" s="5"/>
      <c r="AL124" s="42">
        <f t="shared" si="14"/>
        <v>1</v>
      </c>
      <c r="AM124" s="3">
        <f t="shared" si="15"/>
        <v>1</v>
      </c>
      <c r="AN124" s="3">
        <f t="shared" si="16"/>
        <v>1</v>
      </c>
      <c r="AO124" s="3">
        <f t="shared" si="17"/>
        <v>1607.93</v>
      </c>
      <c r="AP124" s="44">
        <f t="shared" si="18"/>
        <v>32596</v>
      </c>
      <c r="AQ124" s="48">
        <f t="shared" si="19"/>
        <v>1.533333333</v>
      </c>
      <c r="AR124" s="46">
        <f t="shared" si="20"/>
        <v>0.005718045312</v>
      </c>
      <c r="AS124" s="47">
        <f t="shared" si="21"/>
        <v>0.001614568928</v>
      </c>
      <c r="AT124" s="5"/>
      <c r="AU124" s="49">
        <f t="shared" si="27"/>
        <v>32596</v>
      </c>
      <c r="AV124" s="50">
        <f t="shared" si="23"/>
        <v>1</v>
      </c>
      <c r="AW124" s="51">
        <f t="shared" si="24"/>
        <v>0.003162567778</v>
      </c>
      <c r="AX124" s="52">
        <f t="shared" si="25"/>
        <v>0.0008929946143</v>
      </c>
      <c r="AY124" s="5"/>
      <c r="AZ124" s="53">
        <f t="shared" si="26"/>
        <v>1</v>
      </c>
      <c r="BA124" s="5"/>
      <c r="BB124" s="5"/>
      <c r="BC124" s="5"/>
    </row>
    <row r="125" ht="12.75" customHeight="1">
      <c r="A125" s="25"/>
      <c r="B125" s="27" t="s">
        <v>249</v>
      </c>
      <c r="C125" s="27"/>
      <c r="D125" s="28">
        <v>74805.45</v>
      </c>
      <c r="E125" s="94" t="s">
        <v>39</v>
      </c>
      <c r="F125" s="30">
        <v>40221.0</v>
      </c>
      <c r="G125" s="31" t="s">
        <v>40</v>
      </c>
      <c r="H125" s="30">
        <v>40343.0</v>
      </c>
      <c r="I125" s="32">
        <f t="shared" si="1"/>
        <v>4.066666667</v>
      </c>
      <c r="J125" s="33" t="s">
        <v>66</v>
      </c>
      <c r="K125" s="34">
        <v>56500.0</v>
      </c>
      <c r="L125" s="35">
        <v>0.0</v>
      </c>
      <c r="M125" s="65">
        <v>93.48</v>
      </c>
      <c r="N125" s="65">
        <v>5.96</v>
      </c>
      <c r="O125" s="65">
        <f t="shared" si="39"/>
        <v>18305.45</v>
      </c>
      <c r="P125" s="35">
        <f t="shared" si="3"/>
        <v>18404.89</v>
      </c>
      <c r="Q125" s="36">
        <f t="shared" si="4"/>
        <v>0.2460367527</v>
      </c>
      <c r="R125" s="36">
        <f t="shared" si="5"/>
        <v>0.7539632473</v>
      </c>
      <c r="S125" s="37"/>
      <c r="T125" s="5"/>
      <c r="U125" s="54"/>
      <c r="V125" s="55"/>
      <c r="W125" s="55"/>
      <c r="X125" s="56"/>
      <c r="Y125" s="55"/>
      <c r="Z125" s="55"/>
      <c r="AA125" s="57"/>
      <c r="AB125" s="5"/>
      <c r="AC125" s="42">
        <f t="shared" si="6"/>
        <v>0</v>
      </c>
      <c r="AD125" s="3">
        <f t="shared" si="7"/>
        <v>1</v>
      </c>
      <c r="AE125" s="3">
        <f t="shared" si="8"/>
        <v>0</v>
      </c>
      <c r="AF125" s="43">
        <f t="shared" si="9"/>
        <v>0</v>
      </c>
      <c r="AG125" s="44">
        <f t="shared" si="10"/>
        <v>0</v>
      </c>
      <c r="AH125" s="45">
        <f t="shared" si="11"/>
        <v>0</v>
      </c>
      <c r="AI125" s="46">
        <f t="shared" si="12"/>
        <v>0</v>
      </c>
      <c r="AJ125" s="47">
        <f t="shared" si="13"/>
        <v>0</v>
      </c>
      <c r="AK125" s="5"/>
      <c r="AL125" s="42">
        <f t="shared" si="14"/>
        <v>1</v>
      </c>
      <c r="AM125" s="3">
        <f t="shared" si="15"/>
        <v>1</v>
      </c>
      <c r="AN125" s="3">
        <f t="shared" si="16"/>
        <v>1</v>
      </c>
      <c r="AO125" s="3">
        <f t="shared" si="17"/>
        <v>99.44</v>
      </c>
      <c r="AP125" s="44">
        <f t="shared" si="18"/>
        <v>74805.45</v>
      </c>
      <c r="AQ125" s="48">
        <f t="shared" si="19"/>
        <v>4.066666667</v>
      </c>
      <c r="AR125" s="46">
        <f t="shared" si="20"/>
        <v>0.01312249824</v>
      </c>
      <c r="AS125" s="47">
        <f t="shared" si="21"/>
        <v>0.003228616854</v>
      </c>
      <c r="AT125" s="5"/>
      <c r="AU125" s="49">
        <f t="shared" si="27"/>
        <v>74805.45</v>
      </c>
      <c r="AV125" s="50">
        <f t="shared" si="23"/>
        <v>1</v>
      </c>
      <c r="AW125" s="51">
        <f t="shared" si="24"/>
        <v>0.007257863105</v>
      </c>
      <c r="AX125" s="52">
        <f t="shared" si="25"/>
        <v>0.00178570107</v>
      </c>
      <c r="AY125" s="5"/>
      <c r="AZ125" s="53">
        <f t="shared" si="26"/>
        <v>1</v>
      </c>
      <c r="BA125" s="5"/>
      <c r="BB125" s="5"/>
      <c r="BC125" s="5"/>
    </row>
    <row r="126" ht="12.75" customHeight="1">
      <c r="A126" s="25"/>
      <c r="B126" s="27" t="s">
        <v>250</v>
      </c>
      <c r="C126" s="27"/>
      <c r="D126" s="28">
        <v>10756.0</v>
      </c>
      <c r="E126" s="94" t="s">
        <v>39</v>
      </c>
      <c r="F126" s="30">
        <v>40221.0</v>
      </c>
      <c r="G126" s="31" t="s">
        <v>40</v>
      </c>
      <c r="H126" s="30">
        <v>40351.0</v>
      </c>
      <c r="I126" s="32">
        <f t="shared" si="1"/>
        <v>4.333333333</v>
      </c>
      <c r="J126" s="33" t="s">
        <v>251</v>
      </c>
      <c r="K126" s="34">
        <v>9000.0</v>
      </c>
      <c r="L126" s="35">
        <f>5.05+1.12+8.82+3.62+13+1.84+334.83</f>
        <v>368.28</v>
      </c>
      <c r="M126" s="65">
        <f>1481.57+19.33+150</f>
        <v>1650.9</v>
      </c>
      <c r="N126" s="65">
        <f>2+14.42+4.04+4.16+4.16+20.04+0.79+17.7+45.85+5.71</f>
        <v>118.87</v>
      </c>
      <c r="O126" s="65">
        <f t="shared" si="39"/>
        <v>1756</v>
      </c>
      <c r="P126" s="35">
        <f t="shared" si="3"/>
        <v>3894.05</v>
      </c>
      <c r="Q126" s="36">
        <f t="shared" si="4"/>
        <v>0.3620351432</v>
      </c>
      <c r="R126" s="36">
        <f t="shared" si="5"/>
        <v>0.6379648568</v>
      </c>
      <c r="S126" s="37"/>
      <c r="T126" s="5"/>
      <c r="U126" s="54"/>
      <c r="V126" s="55"/>
      <c r="W126" s="55"/>
      <c r="X126" s="56"/>
      <c r="Y126" s="55"/>
      <c r="Z126" s="55"/>
      <c r="AA126" s="57"/>
      <c r="AB126" s="5"/>
      <c r="AC126" s="42">
        <f t="shared" si="6"/>
        <v>0</v>
      </c>
      <c r="AD126" s="3">
        <f t="shared" si="7"/>
        <v>1</v>
      </c>
      <c r="AE126" s="3">
        <f t="shared" si="8"/>
        <v>0</v>
      </c>
      <c r="AF126" s="43">
        <f t="shared" si="9"/>
        <v>0</v>
      </c>
      <c r="AG126" s="44">
        <f t="shared" si="10"/>
        <v>0</v>
      </c>
      <c r="AH126" s="45">
        <f t="shared" si="11"/>
        <v>0</v>
      </c>
      <c r="AI126" s="46">
        <f t="shared" si="12"/>
        <v>0</v>
      </c>
      <c r="AJ126" s="47">
        <f t="shared" si="13"/>
        <v>0</v>
      </c>
      <c r="AK126" s="5"/>
      <c r="AL126" s="42">
        <f t="shared" si="14"/>
        <v>1</v>
      </c>
      <c r="AM126" s="3">
        <f t="shared" si="15"/>
        <v>1</v>
      </c>
      <c r="AN126" s="3">
        <f t="shared" si="16"/>
        <v>1</v>
      </c>
      <c r="AO126" s="3">
        <f t="shared" si="17"/>
        <v>1769.77</v>
      </c>
      <c r="AP126" s="44">
        <f t="shared" si="18"/>
        <v>10756</v>
      </c>
      <c r="AQ126" s="48">
        <f t="shared" si="19"/>
        <v>4.333333333</v>
      </c>
      <c r="AR126" s="46">
        <f t="shared" si="20"/>
        <v>0.001886835666</v>
      </c>
      <c r="AS126" s="47">
        <f t="shared" si="21"/>
        <v>0.0006831008205</v>
      </c>
      <c r="AT126" s="5"/>
      <c r="AU126" s="49">
        <f t="shared" si="27"/>
        <v>10756</v>
      </c>
      <c r="AV126" s="50">
        <f t="shared" si="23"/>
        <v>1</v>
      </c>
      <c r="AW126" s="51">
        <f t="shared" si="24"/>
        <v>0.001043581391</v>
      </c>
      <c r="AX126" s="52">
        <f t="shared" si="25"/>
        <v>0.0003778131383</v>
      </c>
      <c r="AY126" s="5"/>
      <c r="AZ126" s="53">
        <f t="shared" si="26"/>
        <v>1</v>
      </c>
      <c r="BA126" s="5"/>
      <c r="BB126" s="5"/>
      <c r="BC126" s="5"/>
    </row>
    <row r="127" ht="12.75" customHeight="1">
      <c r="A127" s="25"/>
      <c r="B127" s="27" t="s">
        <v>252</v>
      </c>
      <c r="C127" s="27"/>
      <c r="D127" s="28">
        <v>21972.0</v>
      </c>
      <c r="E127" s="94" t="s">
        <v>39</v>
      </c>
      <c r="F127" s="30">
        <v>40221.0</v>
      </c>
      <c r="G127" s="67" t="s">
        <v>40</v>
      </c>
      <c r="H127" s="30">
        <v>40544.0</v>
      </c>
      <c r="I127" s="32">
        <f t="shared" si="1"/>
        <v>10.76666667</v>
      </c>
      <c r="J127" s="33" t="s">
        <v>232</v>
      </c>
      <c r="K127" s="34">
        <v>17000.0</v>
      </c>
      <c r="L127" s="35">
        <v>0.0</v>
      </c>
      <c r="M127" s="65">
        <v>664.93</v>
      </c>
      <c r="N127" s="65">
        <f>152.78+13.2+15.22+25.14+26.5+5+4.05+111.11</f>
        <v>353</v>
      </c>
      <c r="O127" s="65">
        <f t="shared" si="39"/>
        <v>4972</v>
      </c>
      <c r="P127" s="35">
        <f t="shared" si="3"/>
        <v>5989.93</v>
      </c>
      <c r="Q127" s="36">
        <f t="shared" si="4"/>
        <v>0.2726165119</v>
      </c>
      <c r="R127" s="36">
        <f t="shared" si="5"/>
        <v>0.7273834881</v>
      </c>
      <c r="S127" s="37"/>
      <c r="T127" s="5"/>
      <c r="U127" s="54"/>
      <c r="V127" s="55"/>
      <c r="W127" s="55"/>
      <c r="X127" s="56"/>
      <c r="Y127" s="55"/>
      <c r="Z127" s="55"/>
      <c r="AA127" s="57"/>
      <c r="AB127" s="5"/>
      <c r="AC127" s="42">
        <f t="shared" si="6"/>
        <v>0</v>
      </c>
      <c r="AD127" s="3">
        <f t="shared" si="7"/>
        <v>1</v>
      </c>
      <c r="AE127" s="3">
        <f t="shared" si="8"/>
        <v>0</v>
      </c>
      <c r="AF127" s="43">
        <f t="shared" si="9"/>
        <v>0</v>
      </c>
      <c r="AG127" s="44">
        <f t="shared" si="10"/>
        <v>0</v>
      </c>
      <c r="AH127" s="45">
        <f t="shared" si="11"/>
        <v>0</v>
      </c>
      <c r="AI127" s="46">
        <f t="shared" si="12"/>
        <v>0</v>
      </c>
      <c r="AJ127" s="47">
        <f t="shared" si="13"/>
        <v>0</v>
      </c>
      <c r="AK127" s="5"/>
      <c r="AL127" s="42">
        <f t="shared" si="14"/>
        <v>1</v>
      </c>
      <c r="AM127" s="3">
        <f t="shared" si="15"/>
        <v>1</v>
      </c>
      <c r="AN127" s="3">
        <f t="shared" si="16"/>
        <v>1</v>
      </c>
      <c r="AO127" s="3">
        <f t="shared" si="17"/>
        <v>1017.93</v>
      </c>
      <c r="AP127" s="44">
        <f t="shared" si="18"/>
        <v>21972</v>
      </c>
      <c r="AQ127" s="48">
        <f t="shared" si="19"/>
        <v>10.76666667</v>
      </c>
      <c r="AR127" s="46">
        <f t="shared" si="20"/>
        <v>0.003854365308</v>
      </c>
      <c r="AS127" s="47">
        <f t="shared" si="21"/>
        <v>0.001050763626</v>
      </c>
      <c r="AT127" s="5"/>
      <c r="AU127" s="49">
        <f t="shared" si="27"/>
        <v>21972</v>
      </c>
      <c r="AV127" s="50">
        <f t="shared" si="23"/>
        <v>1</v>
      </c>
      <c r="AW127" s="51">
        <f t="shared" si="24"/>
        <v>0.002131793448</v>
      </c>
      <c r="AX127" s="52">
        <f t="shared" si="25"/>
        <v>0.0005811620938</v>
      </c>
      <c r="AY127" s="5"/>
      <c r="AZ127" s="53">
        <f t="shared" si="26"/>
        <v>1</v>
      </c>
      <c r="BA127" s="5"/>
      <c r="BB127" s="5"/>
      <c r="BC127" s="5"/>
    </row>
    <row r="128" ht="12.75" customHeight="1">
      <c r="A128" s="25"/>
      <c r="B128" s="27" t="s">
        <v>253</v>
      </c>
      <c r="C128" s="27"/>
      <c r="D128" s="28">
        <v>59192.0</v>
      </c>
      <c r="E128" s="94" t="s">
        <v>49</v>
      </c>
      <c r="F128" s="30">
        <v>40274.0</v>
      </c>
      <c r="G128" s="31" t="s">
        <v>40</v>
      </c>
      <c r="H128" s="30">
        <v>40355.0</v>
      </c>
      <c r="I128" s="32">
        <f t="shared" si="1"/>
        <v>2.7</v>
      </c>
      <c r="J128" s="33" t="s">
        <v>254</v>
      </c>
      <c r="K128" s="34">
        <v>60000.0</v>
      </c>
      <c r="L128" s="35">
        <v>0.0</v>
      </c>
      <c r="M128" s="65">
        <v>150.0</v>
      </c>
      <c r="N128" s="65"/>
      <c r="O128" s="65"/>
      <c r="P128" s="35">
        <f t="shared" si="3"/>
        <v>0</v>
      </c>
      <c r="Q128" s="36">
        <f t="shared" si="4"/>
        <v>0</v>
      </c>
      <c r="R128" s="36">
        <f t="shared" si="5"/>
        <v>1</v>
      </c>
      <c r="S128" s="37"/>
      <c r="T128" s="5"/>
      <c r="U128" s="54"/>
      <c r="V128" s="55"/>
      <c r="W128" s="55"/>
      <c r="X128" s="56"/>
      <c r="Y128" s="55"/>
      <c r="Z128" s="55"/>
      <c r="AA128" s="57"/>
      <c r="AB128" s="5"/>
      <c r="AC128" s="42">
        <f t="shared" si="6"/>
        <v>1</v>
      </c>
      <c r="AD128" s="3">
        <f t="shared" si="7"/>
        <v>1</v>
      </c>
      <c r="AE128" s="3">
        <f t="shared" si="8"/>
        <v>1</v>
      </c>
      <c r="AF128" s="43">
        <f t="shared" si="9"/>
        <v>150</v>
      </c>
      <c r="AG128" s="44">
        <f t="shared" si="10"/>
        <v>59192</v>
      </c>
      <c r="AH128" s="45">
        <f t="shared" si="11"/>
        <v>2.7</v>
      </c>
      <c r="AI128" s="46">
        <f t="shared" si="12"/>
        <v>0.01280932955</v>
      </c>
      <c r="AJ128" s="47">
        <f t="shared" si="13"/>
        <v>0</v>
      </c>
      <c r="AK128" s="5"/>
      <c r="AL128" s="42">
        <f t="shared" si="14"/>
        <v>0</v>
      </c>
      <c r="AM128" s="3">
        <f t="shared" si="15"/>
        <v>1</v>
      </c>
      <c r="AN128" s="3">
        <f t="shared" si="16"/>
        <v>0</v>
      </c>
      <c r="AO128" s="3">
        <f t="shared" si="17"/>
        <v>0</v>
      </c>
      <c r="AP128" s="44">
        <f t="shared" si="18"/>
        <v>0</v>
      </c>
      <c r="AQ128" s="48">
        <f t="shared" si="19"/>
        <v>0</v>
      </c>
      <c r="AR128" s="46">
        <f t="shared" si="20"/>
        <v>0</v>
      </c>
      <c r="AS128" s="47">
        <f t="shared" si="21"/>
        <v>0</v>
      </c>
      <c r="AT128" s="5"/>
      <c r="AU128" s="49">
        <f t="shared" si="27"/>
        <v>59192</v>
      </c>
      <c r="AV128" s="50">
        <f t="shared" si="23"/>
        <v>1</v>
      </c>
      <c r="AW128" s="51">
        <f t="shared" si="24"/>
        <v>0.005742996439</v>
      </c>
      <c r="AX128" s="52">
        <f t="shared" si="25"/>
        <v>0</v>
      </c>
      <c r="AY128" s="5"/>
      <c r="AZ128" s="53">
        <f t="shared" si="26"/>
        <v>1</v>
      </c>
      <c r="BA128" s="5"/>
      <c r="BB128" s="5"/>
      <c r="BC128" s="5"/>
    </row>
    <row r="129" ht="12.75" customHeight="1">
      <c r="A129" s="25"/>
      <c r="B129" s="27" t="s">
        <v>255</v>
      </c>
      <c r="C129" s="27"/>
      <c r="D129" s="28">
        <v>15000.0</v>
      </c>
      <c r="E129" s="94" t="s">
        <v>49</v>
      </c>
      <c r="F129" s="30">
        <v>40284.0</v>
      </c>
      <c r="G129" s="31" t="s">
        <v>40</v>
      </c>
      <c r="H129" s="30">
        <v>40345.0</v>
      </c>
      <c r="I129" s="32">
        <f t="shared" si="1"/>
        <v>2.033333333</v>
      </c>
      <c r="J129" s="33" t="s">
        <v>256</v>
      </c>
      <c r="K129" s="34">
        <v>18000.0</v>
      </c>
      <c r="L129" s="35">
        <v>0.0</v>
      </c>
      <c r="M129" s="65"/>
      <c r="N129" s="65">
        <f>3.36+8.33+4.67+5.55+3.35+14.44+43.51</f>
        <v>83.21</v>
      </c>
      <c r="O129" s="65"/>
      <c r="P129" s="35">
        <f t="shared" si="3"/>
        <v>0</v>
      </c>
      <c r="Q129" s="36">
        <f t="shared" si="4"/>
        <v>0</v>
      </c>
      <c r="R129" s="36">
        <f t="shared" si="5"/>
        <v>1</v>
      </c>
      <c r="S129" s="37"/>
      <c r="T129" s="5"/>
      <c r="U129" s="54"/>
      <c r="V129" s="55"/>
      <c r="W129" s="55"/>
      <c r="X129" s="56"/>
      <c r="Y129" s="55"/>
      <c r="Z129" s="55"/>
      <c r="AA129" s="57"/>
      <c r="AB129" s="5"/>
      <c r="AC129" s="42">
        <f t="shared" si="6"/>
        <v>1</v>
      </c>
      <c r="AD129" s="3">
        <f t="shared" si="7"/>
        <v>1</v>
      </c>
      <c r="AE129" s="3">
        <f t="shared" si="8"/>
        <v>1</v>
      </c>
      <c r="AF129" s="43">
        <f t="shared" si="9"/>
        <v>83.21</v>
      </c>
      <c r="AG129" s="44">
        <f t="shared" si="10"/>
        <v>15000</v>
      </c>
      <c r="AH129" s="45">
        <f t="shared" si="11"/>
        <v>2.033333333</v>
      </c>
      <c r="AI129" s="46">
        <f t="shared" si="12"/>
        <v>0.003246045805</v>
      </c>
      <c r="AJ129" s="47">
        <f t="shared" si="13"/>
        <v>0</v>
      </c>
      <c r="AK129" s="5"/>
      <c r="AL129" s="42">
        <f t="shared" si="14"/>
        <v>0</v>
      </c>
      <c r="AM129" s="3">
        <f t="shared" si="15"/>
        <v>1</v>
      </c>
      <c r="AN129" s="3">
        <f t="shared" si="16"/>
        <v>0</v>
      </c>
      <c r="AO129" s="3">
        <f t="shared" si="17"/>
        <v>0</v>
      </c>
      <c r="AP129" s="44">
        <f t="shared" si="18"/>
        <v>0</v>
      </c>
      <c r="AQ129" s="48">
        <f t="shared" si="19"/>
        <v>0</v>
      </c>
      <c r="AR129" s="46">
        <f t="shared" si="20"/>
        <v>0</v>
      </c>
      <c r="AS129" s="47">
        <f t="shared" si="21"/>
        <v>0</v>
      </c>
      <c r="AT129" s="5"/>
      <c r="AU129" s="49">
        <f t="shared" si="27"/>
        <v>15000</v>
      </c>
      <c r="AV129" s="50">
        <f t="shared" si="23"/>
        <v>1</v>
      </c>
      <c r="AW129" s="51">
        <f t="shared" si="24"/>
        <v>0.001455347793</v>
      </c>
      <c r="AX129" s="52">
        <f t="shared" si="25"/>
        <v>0</v>
      </c>
      <c r="AY129" s="5"/>
      <c r="AZ129" s="53">
        <f t="shared" si="26"/>
        <v>1</v>
      </c>
      <c r="BA129" s="5"/>
      <c r="BB129" s="5"/>
      <c r="BC129" s="5"/>
    </row>
    <row r="130" ht="12.75" customHeight="1">
      <c r="A130" s="25"/>
      <c r="B130" s="27" t="s">
        <v>257</v>
      </c>
      <c r="C130" s="27"/>
      <c r="D130" s="28">
        <v>12000.0</v>
      </c>
      <c r="E130" s="94" t="s">
        <v>39</v>
      </c>
      <c r="F130" s="30">
        <v>40308.0</v>
      </c>
      <c r="G130" s="32" t="s">
        <v>40</v>
      </c>
      <c r="H130" s="30">
        <v>40434.0</v>
      </c>
      <c r="I130" s="32">
        <f t="shared" si="1"/>
        <v>4.2</v>
      </c>
      <c r="J130" s="33" t="s">
        <v>258</v>
      </c>
      <c r="K130" s="34">
        <v>11000.0</v>
      </c>
      <c r="L130" s="35">
        <v>0.0</v>
      </c>
      <c r="M130" s="65">
        <v>0.0</v>
      </c>
      <c r="N130" s="65">
        <f>89.92+52.96+150+15.2+14.72+9.06</f>
        <v>331.86</v>
      </c>
      <c r="O130" s="65">
        <v>0.0</v>
      </c>
      <c r="P130" s="35">
        <f t="shared" si="3"/>
        <v>1331.86</v>
      </c>
      <c r="Q130" s="36">
        <f t="shared" si="4"/>
        <v>0.1109883333</v>
      </c>
      <c r="R130" s="36">
        <f t="shared" si="5"/>
        <v>0.8890116667</v>
      </c>
      <c r="S130" s="37"/>
      <c r="T130" s="5"/>
      <c r="U130" s="54"/>
      <c r="V130" s="55"/>
      <c r="W130" s="55"/>
      <c r="X130" s="56"/>
      <c r="Y130" s="55"/>
      <c r="Z130" s="55"/>
      <c r="AA130" s="57"/>
      <c r="AB130" s="5"/>
      <c r="AC130" s="42">
        <f t="shared" si="6"/>
        <v>0</v>
      </c>
      <c r="AD130" s="3">
        <f t="shared" si="7"/>
        <v>1</v>
      </c>
      <c r="AE130" s="3">
        <f t="shared" si="8"/>
        <v>0</v>
      </c>
      <c r="AF130" s="43">
        <f t="shared" si="9"/>
        <v>0</v>
      </c>
      <c r="AG130" s="44">
        <f t="shared" si="10"/>
        <v>0</v>
      </c>
      <c r="AH130" s="45">
        <f t="shared" si="11"/>
        <v>0</v>
      </c>
      <c r="AI130" s="46">
        <f t="shared" si="12"/>
        <v>0</v>
      </c>
      <c r="AJ130" s="47">
        <f t="shared" si="13"/>
        <v>0</v>
      </c>
      <c r="AK130" s="5"/>
      <c r="AL130" s="42">
        <f t="shared" si="14"/>
        <v>1</v>
      </c>
      <c r="AM130" s="3">
        <f t="shared" si="15"/>
        <v>1</v>
      </c>
      <c r="AN130" s="3">
        <f t="shared" si="16"/>
        <v>1</v>
      </c>
      <c r="AO130" s="3">
        <f t="shared" si="17"/>
        <v>331.86</v>
      </c>
      <c r="AP130" s="44">
        <f t="shared" si="18"/>
        <v>12000</v>
      </c>
      <c r="AQ130" s="48">
        <f t="shared" si="19"/>
        <v>4.2</v>
      </c>
      <c r="AR130" s="46">
        <f t="shared" si="20"/>
        <v>0.002105060245</v>
      </c>
      <c r="AS130" s="47">
        <f t="shared" si="21"/>
        <v>0.0002336371281</v>
      </c>
      <c r="AT130" s="5"/>
      <c r="AU130" s="49">
        <f t="shared" si="27"/>
        <v>12000</v>
      </c>
      <c r="AV130" s="50">
        <f t="shared" si="23"/>
        <v>1</v>
      </c>
      <c r="AW130" s="51">
        <f t="shared" si="24"/>
        <v>0.001164278235</v>
      </c>
      <c r="AX130" s="52">
        <f t="shared" si="25"/>
        <v>0.0001292213008</v>
      </c>
      <c r="AY130" s="5"/>
      <c r="AZ130" s="53">
        <f t="shared" si="26"/>
        <v>1</v>
      </c>
      <c r="BA130" s="5"/>
      <c r="BB130" s="5"/>
      <c r="BC130" s="5"/>
    </row>
    <row r="131" ht="12.75" customHeight="1">
      <c r="A131" s="25"/>
      <c r="B131" s="27" t="s">
        <v>259</v>
      </c>
      <c r="C131" s="27"/>
      <c r="D131" s="28">
        <v>15000.0</v>
      </c>
      <c r="E131" s="94" t="s">
        <v>39</v>
      </c>
      <c r="F131" s="30">
        <v>40308.0</v>
      </c>
      <c r="G131" s="31" t="s">
        <v>40</v>
      </c>
      <c r="H131" s="30">
        <v>40437.0</v>
      </c>
      <c r="I131" s="32">
        <f t="shared" si="1"/>
        <v>4.3</v>
      </c>
      <c r="J131" s="33" t="s">
        <v>260</v>
      </c>
      <c r="K131" s="34">
        <v>12000.0</v>
      </c>
      <c r="L131" s="35">
        <v>0.0</v>
      </c>
      <c r="M131" s="65">
        <v>150.0</v>
      </c>
      <c r="N131" s="65">
        <f>89.26+13.33+47.94</f>
        <v>150.53</v>
      </c>
      <c r="O131" s="65">
        <v>0.0</v>
      </c>
      <c r="P131" s="35">
        <f t="shared" si="3"/>
        <v>3300.53</v>
      </c>
      <c r="Q131" s="36">
        <f t="shared" si="4"/>
        <v>0.2200353333</v>
      </c>
      <c r="R131" s="36">
        <f t="shared" si="5"/>
        <v>0.7799646667</v>
      </c>
      <c r="S131" s="37"/>
      <c r="T131" s="5"/>
      <c r="U131" s="54"/>
      <c r="V131" s="55"/>
      <c r="W131" s="55"/>
      <c r="X131" s="56"/>
      <c r="Y131" s="55"/>
      <c r="Z131" s="55"/>
      <c r="AA131" s="57"/>
      <c r="AB131" s="5"/>
      <c r="AC131" s="42">
        <f t="shared" si="6"/>
        <v>0</v>
      </c>
      <c r="AD131" s="3">
        <f t="shared" si="7"/>
        <v>1</v>
      </c>
      <c r="AE131" s="3">
        <f t="shared" si="8"/>
        <v>0</v>
      </c>
      <c r="AF131" s="43">
        <f t="shared" si="9"/>
        <v>0</v>
      </c>
      <c r="AG131" s="44">
        <f t="shared" si="10"/>
        <v>0</v>
      </c>
      <c r="AH131" s="45">
        <f t="shared" si="11"/>
        <v>0</v>
      </c>
      <c r="AI131" s="46">
        <f t="shared" si="12"/>
        <v>0</v>
      </c>
      <c r="AJ131" s="47">
        <f t="shared" si="13"/>
        <v>0</v>
      </c>
      <c r="AK131" s="5"/>
      <c r="AL131" s="42">
        <f t="shared" si="14"/>
        <v>1</v>
      </c>
      <c r="AM131" s="3">
        <f t="shared" si="15"/>
        <v>1</v>
      </c>
      <c r="AN131" s="3">
        <f t="shared" si="16"/>
        <v>1</v>
      </c>
      <c r="AO131" s="3">
        <f t="shared" si="17"/>
        <v>300.53</v>
      </c>
      <c r="AP131" s="44">
        <f t="shared" si="18"/>
        <v>15000</v>
      </c>
      <c r="AQ131" s="48">
        <f t="shared" si="19"/>
        <v>4.3</v>
      </c>
      <c r="AR131" s="46">
        <f t="shared" si="20"/>
        <v>0.002631325306</v>
      </c>
      <c r="AS131" s="47">
        <f t="shared" si="21"/>
        <v>0.0005789845408</v>
      </c>
      <c r="AT131" s="5"/>
      <c r="AU131" s="49">
        <f t="shared" si="27"/>
        <v>15000</v>
      </c>
      <c r="AV131" s="50">
        <f t="shared" si="23"/>
        <v>1</v>
      </c>
      <c r="AW131" s="51">
        <f t="shared" si="24"/>
        <v>0.001455347793</v>
      </c>
      <c r="AX131" s="52">
        <f t="shared" si="25"/>
        <v>0.0003202279368</v>
      </c>
      <c r="AY131" s="5"/>
      <c r="AZ131" s="53">
        <f t="shared" si="26"/>
        <v>1</v>
      </c>
      <c r="BA131" s="5"/>
      <c r="BB131" s="5"/>
      <c r="BC131" s="5"/>
    </row>
    <row r="132" ht="12.75" customHeight="1">
      <c r="A132" s="25"/>
      <c r="B132" s="27" t="s">
        <v>261</v>
      </c>
      <c r="C132" s="27"/>
      <c r="D132" s="28">
        <v>15189.0</v>
      </c>
      <c r="E132" s="94" t="s">
        <v>39</v>
      </c>
      <c r="F132" s="30">
        <v>40308.0</v>
      </c>
      <c r="G132" s="31" t="s">
        <v>40</v>
      </c>
      <c r="H132" s="30">
        <v>40452.0</v>
      </c>
      <c r="I132" s="32">
        <f t="shared" si="1"/>
        <v>4.8</v>
      </c>
      <c r="J132" s="33" t="s">
        <v>129</v>
      </c>
      <c r="K132" s="34">
        <v>15000.0</v>
      </c>
      <c r="L132" s="35">
        <v>0.0</v>
      </c>
      <c r="M132" s="65">
        <v>0.0</v>
      </c>
      <c r="N132" s="65">
        <f>291.04+31.15+168</f>
        <v>490.19</v>
      </c>
      <c r="O132" s="65">
        <f t="shared" ref="O132:O134" si="40">IF(K132="N/A",0,IF(K132-D132&gt;0,0,D132-K132))</f>
        <v>189</v>
      </c>
      <c r="P132" s="35">
        <f t="shared" si="3"/>
        <v>679.19</v>
      </c>
      <c r="Q132" s="36">
        <f t="shared" si="4"/>
        <v>0.04471591283</v>
      </c>
      <c r="R132" s="36">
        <f t="shared" si="5"/>
        <v>0.9552840872</v>
      </c>
      <c r="S132" s="37"/>
      <c r="T132" s="5"/>
      <c r="U132" s="54"/>
      <c r="V132" s="55"/>
      <c r="W132" s="55"/>
      <c r="X132" s="56"/>
      <c r="Y132" s="55"/>
      <c r="Z132" s="55"/>
      <c r="AA132" s="57"/>
      <c r="AB132" s="5"/>
      <c r="AC132" s="42">
        <f t="shared" si="6"/>
        <v>0</v>
      </c>
      <c r="AD132" s="3">
        <f t="shared" si="7"/>
        <v>1</v>
      </c>
      <c r="AE132" s="3">
        <f t="shared" si="8"/>
        <v>0</v>
      </c>
      <c r="AF132" s="43">
        <f t="shared" si="9"/>
        <v>0</v>
      </c>
      <c r="AG132" s="44">
        <f t="shared" si="10"/>
        <v>0</v>
      </c>
      <c r="AH132" s="45">
        <f t="shared" si="11"/>
        <v>0</v>
      </c>
      <c r="AI132" s="46">
        <f t="shared" si="12"/>
        <v>0</v>
      </c>
      <c r="AJ132" s="47">
        <f t="shared" si="13"/>
        <v>0</v>
      </c>
      <c r="AK132" s="5"/>
      <c r="AL132" s="42">
        <f t="shared" si="14"/>
        <v>1</v>
      </c>
      <c r="AM132" s="3">
        <f t="shared" si="15"/>
        <v>1</v>
      </c>
      <c r="AN132" s="3">
        <f t="shared" si="16"/>
        <v>1</v>
      </c>
      <c r="AO132" s="3">
        <f t="shared" si="17"/>
        <v>490.19</v>
      </c>
      <c r="AP132" s="44">
        <f t="shared" si="18"/>
        <v>15189</v>
      </c>
      <c r="AQ132" s="48">
        <f t="shared" si="19"/>
        <v>4.8</v>
      </c>
      <c r="AR132" s="46">
        <f t="shared" si="20"/>
        <v>0.002664480005</v>
      </c>
      <c r="AS132" s="47">
        <f t="shared" si="21"/>
        <v>0.0001191446556</v>
      </c>
      <c r="AT132" s="5"/>
      <c r="AU132" s="49">
        <f t="shared" si="27"/>
        <v>15189</v>
      </c>
      <c r="AV132" s="50">
        <f t="shared" si="23"/>
        <v>1</v>
      </c>
      <c r="AW132" s="51">
        <f t="shared" si="24"/>
        <v>0.001473685175</v>
      </c>
      <c r="AX132" s="52">
        <f t="shared" si="25"/>
        <v>0.00006589717785</v>
      </c>
      <c r="AY132" s="5"/>
      <c r="AZ132" s="53">
        <f t="shared" si="26"/>
        <v>1</v>
      </c>
      <c r="BA132" s="5"/>
      <c r="BB132" s="5"/>
      <c r="BC132" s="5"/>
    </row>
    <row r="133" ht="12.75" customHeight="1">
      <c r="A133" s="25"/>
      <c r="B133" s="27" t="s">
        <v>262</v>
      </c>
      <c r="C133" s="27"/>
      <c r="D133" s="28">
        <v>24800.0</v>
      </c>
      <c r="E133" s="94" t="s">
        <v>49</v>
      </c>
      <c r="F133" s="30">
        <v>40308.0</v>
      </c>
      <c r="G133" s="31" t="s">
        <v>40</v>
      </c>
      <c r="H133" s="30" t="s">
        <v>129</v>
      </c>
      <c r="I133" s="32" t="str">
        <f t="shared" si="1"/>
        <v>N/A</v>
      </c>
      <c r="J133" s="33" t="s">
        <v>129</v>
      </c>
      <c r="K133" s="106" t="s">
        <v>129</v>
      </c>
      <c r="L133" s="35">
        <v>0.0</v>
      </c>
      <c r="M133" s="65">
        <v>0.0</v>
      </c>
      <c r="N133" s="65">
        <f>330.14+69.15+1.27+171.2</f>
        <v>571.76</v>
      </c>
      <c r="O133" s="65">
        <f t="shared" si="40"/>
        <v>0</v>
      </c>
      <c r="P133" s="35">
        <f t="shared" si="3"/>
        <v>0</v>
      </c>
      <c r="Q133" s="36" t="str">
        <f t="shared" si="4"/>
        <v>N/A</v>
      </c>
      <c r="R133" s="36" t="str">
        <f t="shared" si="5"/>
        <v>N/A</v>
      </c>
      <c r="S133" s="37"/>
      <c r="T133" s="5"/>
      <c r="U133" s="54"/>
      <c r="V133" s="55"/>
      <c r="W133" s="55"/>
      <c r="X133" s="56">
        <v>0.0775</v>
      </c>
      <c r="Y133" s="55"/>
      <c r="Z133" s="55"/>
      <c r="AA133" s="57"/>
      <c r="AB133" s="5"/>
      <c r="AC133" s="42">
        <f t="shared" si="6"/>
        <v>1</v>
      </c>
      <c r="AD133" s="3">
        <f t="shared" si="7"/>
        <v>0</v>
      </c>
      <c r="AE133" s="3">
        <f t="shared" si="8"/>
        <v>0</v>
      </c>
      <c r="AF133" s="43">
        <f t="shared" si="9"/>
        <v>0</v>
      </c>
      <c r="AG133" s="44">
        <f t="shared" si="10"/>
        <v>0</v>
      </c>
      <c r="AH133" s="45">
        <f t="shared" si="11"/>
        <v>0</v>
      </c>
      <c r="AI133" s="46">
        <f t="shared" si="12"/>
        <v>0</v>
      </c>
      <c r="AJ133" s="47">
        <f t="shared" si="13"/>
        <v>0</v>
      </c>
      <c r="AK133" s="5"/>
      <c r="AL133" s="42">
        <f t="shared" si="14"/>
        <v>0</v>
      </c>
      <c r="AM133" s="3">
        <f t="shared" si="15"/>
        <v>0</v>
      </c>
      <c r="AN133" s="3">
        <f t="shared" si="16"/>
        <v>0</v>
      </c>
      <c r="AO133" s="3">
        <f t="shared" si="17"/>
        <v>0</v>
      </c>
      <c r="AP133" s="44">
        <f t="shared" si="18"/>
        <v>0</v>
      </c>
      <c r="AQ133" s="48">
        <f t="shared" si="19"/>
        <v>0</v>
      </c>
      <c r="AR133" s="46">
        <f t="shared" si="20"/>
        <v>0</v>
      </c>
      <c r="AS133" s="47">
        <f t="shared" si="21"/>
        <v>0</v>
      </c>
      <c r="AT133" s="5"/>
      <c r="AU133" s="49">
        <f t="shared" si="27"/>
        <v>0</v>
      </c>
      <c r="AV133" s="50">
        <f t="shared" si="23"/>
        <v>0</v>
      </c>
      <c r="AW133" s="51">
        <f t="shared" si="24"/>
        <v>0</v>
      </c>
      <c r="AX133" s="52">
        <f t="shared" si="25"/>
        <v>0</v>
      </c>
      <c r="AY133" s="5"/>
      <c r="AZ133" s="53">
        <f t="shared" si="26"/>
        <v>1</v>
      </c>
      <c r="BA133" s="5"/>
      <c r="BB133" s="5"/>
      <c r="BC133" s="5"/>
    </row>
    <row r="134" ht="12.75" customHeight="1">
      <c r="A134" s="25"/>
      <c r="B134" s="27" t="s">
        <v>263</v>
      </c>
      <c r="C134" s="107"/>
      <c r="D134" s="108">
        <v>19000.0</v>
      </c>
      <c r="E134" s="94" t="s">
        <v>49</v>
      </c>
      <c r="F134" s="30">
        <v>40308.0</v>
      </c>
      <c r="G134" s="31" t="s">
        <v>40</v>
      </c>
      <c r="H134" s="30" t="s">
        <v>129</v>
      </c>
      <c r="I134" s="32" t="str">
        <f t="shared" si="1"/>
        <v>N/A</v>
      </c>
      <c r="J134" s="33" t="s">
        <v>129</v>
      </c>
      <c r="K134" s="106" t="s">
        <v>129</v>
      </c>
      <c r="L134" s="35">
        <v>0.0</v>
      </c>
      <c r="M134" s="65">
        <f>15.91</f>
        <v>15.91</v>
      </c>
      <c r="N134" s="65">
        <f>287.62+33.86+7.39</f>
        <v>328.87</v>
      </c>
      <c r="O134" s="65">
        <f t="shared" si="40"/>
        <v>0</v>
      </c>
      <c r="P134" s="35">
        <f t="shared" si="3"/>
        <v>0</v>
      </c>
      <c r="Q134" s="36" t="str">
        <f t="shared" si="4"/>
        <v>N/A</v>
      </c>
      <c r="R134" s="36" t="str">
        <f t="shared" si="5"/>
        <v>N/A</v>
      </c>
      <c r="S134" s="37"/>
      <c r="T134" s="5"/>
      <c r="U134" s="54"/>
      <c r="V134" s="55"/>
      <c r="W134" s="55"/>
      <c r="X134" s="56">
        <v>0.0775</v>
      </c>
      <c r="Y134" s="55"/>
      <c r="Z134" s="55"/>
      <c r="AA134" s="57"/>
      <c r="AB134" s="5"/>
      <c r="AC134" s="42">
        <f t="shared" si="6"/>
        <v>1</v>
      </c>
      <c r="AD134" s="3">
        <f t="shared" si="7"/>
        <v>0</v>
      </c>
      <c r="AE134" s="3">
        <f t="shared" si="8"/>
        <v>0</v>
      </c>
      <c r="AF134" s="43">
        <f t="shared" si="9"/>
        <v>0</v>
      </c>
      <c r="AG134" s="44">
        <f t="shared" si="10"/>
        <v>0</v>
      </c>
      <c r="AH134" s="45">
        <f t="shared" si="11"/>
        <v>0</v>
      </c>
      <c r="AI134" s="46">
        <f t="shared" si="12"/>
        <v>0</v>
      </c>
      <c r="AJ134" s="47">
        <f t="shared" si="13"/>
        <v>0</v>
      </c>
      <c r="AK134" s="5"/>
      <c r="AL134" s="42">
        <f t="shared" si="14"/>
        <v>0</v>
      </c>
      <c r="AM134" s="3">
        <f t="shared" si="15"/>
        <v>0</v>
      </c>
      <c r="AN134" s="3">
        <f t="shared" si="16"/>
        <v>0</v>
      </c>
      <c r="AO134" s="3">
        <f t="shared" si="17"/>
        <v>0</v>
      </c>
      <c r="AP134" s="44">
        <f t="shared" si="18"/>
        <v>0</v>
      </c>
      <c r="AQ134" s="48">
        <f t="shared" si="19"/>
        <v>0</v>
      </c>
      <c r="AR134" s="46">
        <f t="shared" si="20"/>
        <v>0</v>
      </c>
      <c r="AS134" s="47">
        <f t="shared" si="21"/>
        <v>0</v>
      </c>
      <c r="AT134" s="5"/>
      <c r="AU134" s="49">
        <f t="shared" si="27"/>
        <v>0</v>
      </c>
      <c r="AV134" s="50">
        <f t="shared" si="23"/>
        <v>0</v>
      </c>
      <c r="AW134" s="51">
        <f t="shared" si="24"/>
        <v>0</v>
      </c>
      <c r="AX134" s="52">
        <f t="shared" si="25"/>
        <v>0</v>
      </c>
      <c r="AY134" s="5"/>
      <c r="AZ134" s="53">
        <f t="shared" si="26"/>
        <v>1</v>
      </c>
      <c r="BA134" s="5"/>
      <c r="BB134" s="5"/>
      <c r="BC134" s="5"/>
    </row>
    <row r="135" ht="12.75" customHeight="1">
      <c r="A135" s="25"/>
      <c r="B135" s="27" t="s">
        <v>264</v>
      </c>
      <c r="C135" s="107"/>
      <c r="D135" s="108">
        <v>24000.0</v>
      </c>
      <c r="E135" s="94" t="s">
        <v>39</v>
      </c>
      <c r="F135" s="30">
        <v>40339.0</v>
      </c>
      <c r="G135" s="109" t="s">
        <v>40</v>
      </c>
      <c r="H135" s="30">
        <v>40492.0</v>
      </c>
      <c r="I135" s="32">
        <f t="shared" si="1"/>
        <v>5.1</v>
      </c>
      <c r="J135" s="33" t="s">
        <v>129</v>
      </c>
      <c r="K135" s="34">
        <v>28000.0</v>
      </c>
      <c r="L135" s="35">
        <v>0.0</v>
      </c>
      <c r="M135" s="65">
        <f>452.29</f>
        <v>452.29</v>
      </c>
      <c r="N135" s="65">
        <f>8.95+452.29+92.66+347.71+12.77+35.4+166.67+157.02+2</f>
        <v>1275.47</v>
      </c>
      <c r="O135" s="65">
        <v>0.0</v>
      </c>
      <c r="P135" s="35">
        <f t="shared" si="3"/>
        <v>0</v>
      </c>
      <c r="Q135" s="36">
        <f t="shared" si="4"/>
        <v>0</v>
      </c>
      <c r="R135" s="36">
        <f t="shared" si="5"/>
        <v>1</v>
      </c>
      <c r="S135" s="37"/>
      <c r="T135" s="5"/>
      <c r="U135" s="54"/>
      <c r="V135" s="55"/>
      <c r="W135" s="55"/>
      <c r="X135" s="56"/>
      <c r="Y135" s="55"/>
      <c r="Z135" s="55"/>
      <c r="AA135" s="57"/>
      <c r="AB135" s="5"/>
      <c r="AC135" s="42">
        <f t="shared" si="6"/>
        <v>0</v>
      </c>
      <c r="AD135" s="3">
        <f t="shared" si="7"/>
        <v>1</v>
      </c>
      <c r="AE135" s="3">
        <f t="shared" si="8"/>
        <v>0</v>
      </c>
      <c r="AF135" s="43">
        <f t="shared" si="9"/>
        <v>0</v>
      </c>
      <c r="AG135" s="44">
        <f t="shared" si="10"/>
        <v>0</v>
      </c>
      <c r="AH135" s="45">
        <f t="shared" si="11"/>
        <v>0</v>
      </c>
      <c r="AI135" s="46">
        <f t="shared" si="12"/>
        <v>0</v>
      </c>
      <c r="AJ135" s="47">
        <f t="shared" si="13"/>
        <v>0</v>
      </c>
      <c r="AK135" s="5"/>
      <c r="AL135" s="42">
        <f t="shared" si="14"/>
        <v>1</v>
      </c>
      <c r="AM135" s="3">
        <f t="shared" si="15"/>
        <v>1</v>
      </c>
      <c r="AN135" s="3">
        <f t="shared" si="16"/>
        <v>1</v>
      </c>
      <c r="AO135" s="3">
        <f t="shared" si="17"/>
        <v>1727.76</v>
      </c>
      <c r="AP135" s="44">
        <f t="shared" si="18"/>
        <v>24000</v>
      </c>
      <c r="AQ135" s="48">
        <f t="shared" si="19"/>
        <v>5.1</v>
      </c>
      <c r="AR135" s="46">
        <f t="shared" si="20"/>
        <v>0.00421012049</v>
      </c>
      <c r="AS135" s="47">
        <f t="shared" si="21"/>
        <v>0</v>
      </c>
      <c r="AT135" s="5"/>
      <c r="AU135" s="49">
        <f t="shared" si="27"/>
        <v>24000</v>
      </c>
      <c r="AV135" s="50">
        <f t="shared" si="23"/>
        <v>1</v>
      </c>
      <c r="AW135" s="51">
        <f t="shared" si="24"/>
        <v>0.002328556469</v>
      </c>
      <c r="AX135" s="52">
        <f t="shared" si="25"/>
        <v>0</v>
      </c>
      <c r="AY135" s="5"/>
      <c r="AZ135" s="53">
        <f t="shared" si="26"/>
        <v>1</v>
      </c>
      <c r="BA135" s="5"/>
      <c r="BB135" s="5"/>
      <c r="BC135" s="5"/>
    </row>
    <row r="136" ht="12.75" customHeight="1">
      <c r="A136" s="25"/>
      <c r="B136" s="27" t="s">
        <v>265</v>
      </c>
      <c r="C136" s="107"/>
      <c r="D136" s="108">
        <v>11835.17</v>
      </c>
      <c r="E136" s="94" t="s">
        <v>39</v>
      </c>
      <c r="F136" s="30">
        <v>40339.0</v>
      </c>
      <c r="G136" s="31" t="s">
        <v>40</v>
      </c>
      <c r="H136" s="30">
        <v>40522.0</v>
      </c>
      <c r="I136" s="32">
        <f t="shared" si="1"/>
        <v>6.1</v>
      </c>
      <c r="J136" s="33" t="s">
        <v>232</v>
      </c>
      <c r="K136" s="34">
        <v>11000.0</v>
      </c>
      <c r="L136" s="35">
        <v>0.0</v>
      </c>
      <c r="M136" s="65">
        <v>27.43</v>
      </c>
      <c r="N136" s="65">
        <f>16.67+20.61+246.82</f>
        <v>284.1</v>
      </c>
      <c r="O136" s="65">
        <f t="shared" ref="O136:O140" si="41">IF(K136="N/A",0,IF(K136-D136&gt;0,0,D136-K136))</f>
        <v>835.17</v>
      </c>
      <c r="P136" s="35">
        <f t="shared" si="3"/>
        <v>1146.7</v>
      </c>
      <c r="Q136" s="36">
        <f t="shared" si="4"/>
        <v>0.09688918706</v>
      </c>
      <c r="R136" s="36">
        <f t="shared" si="5"/>
        <v>0.9031108129</v>
      </c>
      <c r="S136" s="37"/>
      <c r="T136" s="5"/>
      <c r="U136" s="54"/>
      <c r="V136" s="55"/>
      <c r="W136" s="55"/>
      <c r="X136" s="56"/>
      <c r="Y136" s="55"/>
      <c r="Z136" s="55"/>
      <c r="AA136" s="57"/>
      <c r="AB136" s="5"/>
      <c r="AC136" s="42">
        <f t="shared" si="6"/>
        <v>0</v>
      </c>
      <c r="AD136" s="3">
        <f t="shared" si="7"/>
        <v>1</v>
      </c>
      <c r="AE136" s="3">
        <f t="shared" si="8"/>
        <v>0</v>
      </c>
      <c r="AF136" s="43">
        <f t="shared" si="9"/>
        <v>0</v>
      </c>
      <c r="AG136" s="44">
        <f t="shared" si="10"/>
        <v>0</v>
      </c>
      <c r="AH136" s="45">
        <f t="shared" si="11"/>
        <v>0</v>
      </c>
      <c r="AI136" s="46">
        <f t="shared" si="12"/>
        <v>0</v>
      </c>
      <c r="AJ136" s="47">
        <f t="shared" si="13"/>
        <v>0</v>
      </c>
      <c r="AK136" s="5"/>
      <c r="AL136" s="42">
        <f t="shared" si="14"/>
        <v>1</v>
      </c>
      <c r="AM136" s="3">
        <f t="shared" si="15"/>
        <v>1</v>
      </c>
      <c r="AN136" s="3">
        <f t="shared" si="16"/>
        <v>1</v>
      </c>
      <c r="AO136" s="3">
        <f t="shared" si="17"/>
        <v>311.53</v>
      </c>
      <c r="AP136" s="44">
        <f t="shared" si="18"/>
        <v>11835.17</v>
      </c>
      <c r="AQ136" s="48">
        <f t="shared" si="19"/>
        <v>6.1</v>
      </c>
      <c r="AR136" s="46">
        <f t="shared" si="20"/>
        <v>0.002076145488</v>
      </c>
      <c r="AS136" s="47">
        <f t="shared" si="21"/>
        <v>0.0002011560486</v>
      </c>
      <c r="AT136" s="5"/>
      <c r="AU136" s="49">
        <f t="shared" si="27"/>
        <v>11835.17</v>
      </c>
      <c r="AV136" s="50">
        <f t="shared" si="23"/>
        <v>1</v>
      </c>
      <c r="AW136" s="51">
        <f t="shared" si="24"/>
        <v>0.001148285903</v>
      </c>
      <c r="AX136" s="52">
        <f t="shared" si="25"/>
        <v>0.0001112564876</v>
      </c>
      <c r="AY136" s="5"/>
      <c r="AZ136" s="53">
        <f t="shared" si="26"/>
        <v>1</v>
      </c>
      <c r="BA136" s="5"/>
      <c r="BB136" s="5"/>
      <c r="BC136" s="5"/>
    </row>
    <row r="137" ht="12.75" customHeight="1">
      <c r="A137" s="25"/>
      <c r="B137" s="27" t="s">
        <v>266</v>
      </c>
      <c r="C137" s="107"/>
      <c r="D137" s="108">
        <v>13222.25</v>
      </c>
      <c r="E137" s="94" t="s">
        <v>49</v>
      </c>
      <c r="F137" s="30">
        <v>40339.0</v>
      </c>
      <c r="G137" s="31" t="s">
        <v>40</v>
      </c>
      <c r="H137" s="30">
        <v>40724.0</v>
      </c>
      <c r="I137" s="32">
        <f t="shared" si="1"/>
        <v>12.83333333</v>
      </c>
      <c r="J137" s="33" t="s">
        <v>129</v>
      </c>
      <c r="K137" s="34">
        <v>13222.25</v>
      </c>
      <c r="L137" s="35">
        <v>0.0</v>
      </c>
      <c r="M137" s="65"/>
      <c r="N137" s="65"/>
      <c r="O137" s="65">
        <f t="shared" si="41"/>
        <v>0</v>
      </c>
      <c r="P137" s="35">
        <f t="shared" si="3"/>
        <v>0</v>
      </c>
      <c r="Q137" s="36">
        <f t="shared" si="4"/>
        <v>0</v>
      </c>
      <c r="R137" s="36">
        <f t="shared" si="5"/>
        <v>1</v>
      </c>
      <c r="S137" s="37"/>
      <c r="T137" s="5"/>
      <c r="U137" s="54"/>
      <c r="V137" s="55"/>
      <c r="W137" s="55"/>
      <c r="X137" s="56"/>
      <c r="Y137" s="55"/>
      <c r="Z137" s="55"/>
      <c r="AA137" s="57"/>
      <c r="AB137" s="5"/>
      <c r="AC137" s="42">
        <f t="shared" si="6"/>
        <v>1</v>
      </c>
      <c r="AD137" s="3">
        <f t="shared" si="7"/>
        <v>1</v>
      </c>
      <c r="AE137" s="3">
        <f t="shared" si="8"/>
        <v>1</v>
      </c>
      <c r="AF137" s="43">
        <f t="shared" si="9"/>
        <v>0</v>
      </c>
      <c r="AG137" s="44">
        <f t="shared" si="10"/>
        <v>13222.25</v>
      </c>
      <c r="AH137" s="45">
        <f t="shared" si="11"/>
        <v>12.83333333</v>
      </c>
      <c r="AI137" s="46">
        <f t="shared" si="12"/>
        <v>0.002861335277</v>
      </c>
      <c r="AJ137" s="47">
        <f t="shared" si="13"/>
        <v>0</v>
      </c>
      <c r="AK137" s="5"/>
      <c r="AL137" s="42">
        <f t="shared" si="14"/>
        <v>0</v>
      </c>
      <c r="AM137" s="3">
        <f t="shared" si="15"/>
        <v>1</v>
      </c>
      <c r="AN137" s="3">
        <f t="shared" si="16"/>
        <v>0</v>
      </c>
      <c r="AO137" s="3">
        <f t="shared" si="17"/>
        <v>0</v>
      </c>
      <c r="AP137" s="44">
        <f t="shared" si="18"/>
        <v>0</v>
      </c>
      <c r="AQ137" s="48">
        <f t="shared" si="19"/>
        <v>0</v>
      </c>
      <c r="AR137" s="46">
        <f t="shared" si="20"/>
        <v>0</v>
      </c>
      <c r="AS137" s="47">
        <f t="shared" si="21"/>
        <v>0</v>
      </c>
      <c r="AT137" s="5"/>
      <c r="AU137" s="49">
        <f t="shared" si="27"/>
        <v>13222.25</v>
      </c>
      <c r="AV137" s="50">
        <f t="shared" si="23"/>
        <v>1</v>
      </c>
      <c r="AW137" s="51">
        <f t="shared" si="24"/>
        <v>0.001282864824</v>
      </c>
      <c r="AX137" s="52">
        <f t="shared" si="25"/>
        <v>0</v>
      </c>
      <c r="AY137" s="5"/>
      <c r="AZ137" s="53">
        <f t="shared" si="26"/>
        <v>1</v>
      </c>
      <c r="BA137" s="5"/>
      <c r="BB137" s="5"/>
      <c r="BC137" s="5"/>
    </row>
    <row r="138" ht="12.75" customHeight="1">
      <c r="A138" s="25"/>
      <c r="B138" s="27" t="s">
        <v>267</v>
      </c>
      <c r="C138" s="107"/>
      <c r="D138" s="108">
        <v>26871.68</v>
      </c>
      <c r="E138" s="94" t="s">
        <v>39</v>
      </c>
      <c r="F138" s="30">
        <v>40339.0</v>
      </c>
      <c r="G138" s="31" t="s">
        <v>40</v>
      </c>
      <c r="H138" s="30">
        <v>40744.0</v>
      </c>
      <c r="I138" s="32">
        <f t="shared" si="1"/>
        <v>13.5</v>
      </c>
      <c r="J138" s="33" t="s">
        <v>129</v>
      </c>
      <c r="K138" s="34">
        <v>33000.0</v>
      </c>
      <c r="L138" s="35">
        <v>0.0</v>
      </c>
      <c r="M138" s="65"/>
      <c r="N138" s="65"/>
      <c r="O138" s="65">
        <f t="shared" si="41"/>
        <v>0</v>
      </c>
      <c r="P138" s="35">
        <f t="shared" si="3"/>
        <v>0</v>
      </c>
      <c r="Q138" s="36">
        <f t="shared" si="4"/>
        <v>0</v>
      </c>
      <c r="R138" s="36">
        <f t="shared" si="5"/>
        <v>1</v>
      </c>
      <c r="S138" s="37"/>
      <c r="T138" s="5"/>
      <c r="U138" s="54"/>
      <c r="V138" s="55"/>
      <c r="W138" s="55"/>
      <c r="X138" s="56"/>
      <c r="Y138" s="55"/>
      <c r="Z138" s="55"/>
      <c r="AA138" s="57"/>
      <c r="AB138" s="5"/>
      <c r="AC138" s="42">
        <f t="shared" si="6"/>
        <v>0</v>
      </c>
      <c r="AD138" s="3">
        <f t="shared" si="7"/>
        <v>1</v>
      </c>
      <c r="AE138" s="3">
        <f t="shared" si="8"/>
        <v>0</v>
      </c>
      <c r="AF138" s="43">
        <f t="shared" si="9"/>
        <v>0</v>
      </c>
      <c r="AG138" s="44">
        <f t="shared" si="10"/>
        <v>0</v>
      </c>
      <c r="AH138" s="45">
        <f t="shared" si="11"/>
        <v>0</v>
      </c>
      <c r="AI138" s="46">
        <f t="shared" si="12"/>
        <v>0</v>
      </c>
      <c r="AJ138" s="47">
        <f t="shared" si="13"/>
        <v>0</v>
      </c>
      <c r="AK138" s="5"/>
      <c r="AL138" s="42">
        <f t="shared" si="14"/>
        <v>1</v>
      </c>
      <c r="AM138" s="3">
        <f t="shared" si="15"/>
        <v>1</v>
      </c>
      <c r="AN138" s="3">
        <f t="shared" si="16"/>
        <v>1</v>
      </c>
      <c r="AO138" s="3">
        <f t="shared" si="17"/>
        <v>0</v>
      </c>
      <c r="AP138" s="44">
        <f t="shared" si="18"/>
        <v>26871.68</v>
      </c>
      <c r="AQ138" s="48">
        <f t="shared" si="19"/>
        <v>13.5</v>
      </c>
      <c r="AR138" s="46">
        <f t="shared" si="20"/>
        <v>0.00471387544</v>
      </c>
      <c r="AS138" s="47">
        <f t="shared" si="21"/>
        <v>0</v>
      </c>
      <c r="AT138" s="5"/>
      <c r="AU138" s="49">
        <f t="shared" si="27"/>
        <v>26871.68</v>
      </c>
      <c r="AV138" s="50">
        <f t="shared" si="23"/>
        <v>1</v>
      </c>
      <c r="AW138" s="51">
        <f t="shared" si="24"/>
        <v>0.002607176013</v>
      </c>
      <c r="AX138" s="52">
        <f t="shared" si="25"/>
        <v>0</v>
      </c>
      <c r="AY138" s="5"/>
      <c r="AZ138" s="53">
        <f t="shared" si="26"/>
        <v>1</v>
      </c>
      <c r="BA138" s="5"/>
      <c r="BB138" s="5"/>
      <c r="BC138" s="5"/>
    </row>
    <row r="139" ht="12.75" customHeight="1">
      <c r="A139" s="25"/>
      <c r="B139" s="27" t="s">
        <v>268</v>
      </c>
      <c r="C139" s="107"/>
      <c r="D139" s="108">
        <v>16032.34</v>
      </c>
      <c r="E139" s="94" t="s">
        <v>39</v>
      </c>
      <c r="F139" s="30">
        <v>40339.0</v>
      </c>
      <c r="G139" s="31" t="s">
        <v>40</v>
      </c>
      <c r="H139" s="30">
        <v>40777.0</v>
      </c>
      <c r="I139" s="32">
        <f t="shared" si="1"/>
        <v>14.6</v>
      </c>
      <c r="J139" s="33" t="s">
        <v>269</v>
      </c>
      <c r="K139" s="34">
        <v>16000.0</v>
      </c>
      <c r="L139" s="35">
        <v>0.0</v>
      </c>
      <c r="M139" s="65">
        <v>0.0</v>
      </c>
      <c r="N139" s="65">
        <v>0.0</v>
      </c>
      <c r="O139" s="65">
        <f t="shared" si="41"/>
        <v>32.34</v>
      </c>
      <c r="P139" s="35">
        <f t="shared" si="3"/>
        <v>32.34</v>
      </c>
      <c r="Q139" s="36">
        <f t="shared" si="4"/>
        <v>0.002017172789</v>
      </c>
      <c r="R139" s="36">
        <f t="shared" si="5"/>
        <v>0.9979828272</v>
      </c>
      <c r="S139" s="37"/>
      <c r="T139" s="5"/>
      <c r="U139" s="54"/>
      <c r="V139" s="55"/>
      <c r="W139" s="55"/>
      <c r="X139" s="56"/>
      <c r="Y139" s="55"/>
      <c r="Z139" s="55"/>
      <c r="AA139" s="57"/>
      <c r="AB139" s="5"/>
      <c r="AC139" s="42">
        <f t="shared" si="6"/>
        <v>0</v>
      </c>
      <c r="AD139" s="3">
        <f t="shared" si="7"/>
        <v>1</v>
      </c>
      <c r="AE139" s="3">
        <f t="shared" si="8"/>
        <v>0</v>
      </c>
      <c r="AF139" s="43">
        <f t="shared" si="9"/>
        <v>0</v>
      </c>
      <c r="AG139" s="44">
        <f t="shared" si="10"/>
        <v>0</v>
      </c>
      <c r="AH139" s="45">
        <f t="shared" si="11"/>
        <v>0</v>
      </c>
      <c r="AI139" s="46">
        <f t="shared" si="12"/>
        <v>0</v>
      </c>
      <c r="AJ139" s="47">
        <f t="shared" si="13"/>
        <v>0</v>
      </c>
      <c r="AK139" s="5"/>
      <c r="AL139" s="42">
        <f t="shared" si="14"/>
        <v>1</v>
      </c>
      <c r="AM139" s="3">
        <f t="shared" si="15"/>
        <v>1</v>
      </c>
      <c r="AN139" s="3">
        <f t="shared" si="16"/>
        <v>1</v>
      </c>
      <c r="AO139" s="3">
        <f t="shared" si="17"/>
        <v>0</v>
      </c>
      <c r="AP139" s="44">
        <f t="shared" si="18"/>
        <v>16032.34</v>
      </c>
      <c r="AQ139" s="48">
        <f t="shared" si="19"/>
        <v>14.6</v>
      </c>
      <c r="AR139" s="46">
        <f t="shared" si="20"/>
        <v>0.002812420131</v>
      </c>
      <c r="AS139" s="47">
        <f t="shared" si="21"/>
        <v>0.00000567313736</v>
      </c>
      <c r="AT139" s="5"/>
      <c r="AU139" s="49">
        <f t="shared" si="27"/>
        <v>16032.34</v>
      </c>
      <c r="AV139" s="50">
        <f t="shared" si="23"/>
        <v>1</v>
      </c>
      <c r="AW139" s="51">
        <f t="shared" si="24"/>
        <v>0.001555508709</v>
      </c>
      <c r="AX139" s="52">
        <f t="shared" si="25"/>
        <v>0.000003137729842</v>
      </c>
      <c r="AY139" s="5"/>
      <c r="AZ139" s="53">
        <f t="shared" si="26"/>
        <v>1</v>
      </c>
      <c r="BA139" s="5"/>
      <c r="BB139" s="5"/>
      <c r="BC139" s="5"/>
    </row>
    <row r="140" ht="12.75" customHeight="1">
      <c r="A140" s="69"/>
      <c r="B140" s="27" t="s">
        <v>270</v>
      </c>
      <c r="C140" s="107"/>
      <c r="D140" s="108">
        <v>17629.93</v>
      </c>
      <c r="E140" s="94" t="s">
        <v>39</v>
      </c>
      <c r="F140" s="30">
        <v>40339.0</v>
      </c>
      <c r="G140" s="31" t="s">
        <v>40</v>
      </c>
      <c r="H140" s="30">
        <v>40842.0</v>
      </c>
      <c r="I140" s="32">
        <f t="shared" si="1"/>
        <v>16.76666667</v>
      </c>
      <c r="J140" s="33" t="s">
        <v>271</v>
      </c>
      <c r="K140" s="34">
        <v>17500.0</v>
      </c>
      <c r="L140" s="35">
        <v>0.0</v>
      </c>
      <c r="M140" s="65">
        <v>0.0</v>
      </c>
      <c r="N140" s="65">
        <v>0.0</v>
      </c>
      <c r="O140" s="65">
        <f t="shared" si="41"/>
        <v>129.93</v>
      </c>
      <c r="P140" s="35">
        <f t="shared" si="3"/>
        <v>129.93</v>
      </c>
      <c r="Q140" s="36">
        <f t="shared" si="4"/>
        <v>0.007369853425</v>
      </c>
      <c r="R140" s="36">
        <f t="shared" si="5"/>
        <v>0.9926301466</v>
      </c>
      <c r="S140" s="37"/>
      <c r="T140" s="5"/>
      <c r="U140" s="54"/>
      <c r="V140" s="55"/>
      <c r="W140" s="55"/>
      <c r="X140" s="56"/>
      <c r="Y140" s="55"/>
      <c r="Z140" s="55"/>
      <c r="AA140" s="57"/>
      <c r="AB140" s="5"/>
      <c r="AC140" s="42">
        <f t="shared" si="6"/>
        <v>0</v>
      </c>
      <c r="AD140" s="3">
        <f t="shared" si="7"/>
        <v>1</v>
      </c>
      <c r="AE140" s="3">
        <f t="shared" si="8"/>
        <v>0</v>
      </c>
      <c r="AF140" s="43">
        <f t="shared" si="9"/>
        <v>0</v>
      </c>
      <c r="AG140" s="44">
        <f t="shared" si="10"/>
        <v>0</v>
      </c>
      <c r="AH140" s="45">
        <f t="shared" si="11"/>
        <v>0</v>
      </c>
      <c r="AI140" s="46">
        <f t="shared" si="12"/>
        <v>0</v>
      </c>
      <c r="AJ140" s="47">
        <f t="shared" si="13"/>
        <v>0</v>
      </c>
      <c r="AK140" s="5"/>
      <c r="AL140" s="42">
        <f t="shared" si="14"/>
        <v>1</v>
      </c>
      <c r="AM140" s="3">
        <f t="shared" si="15"/>
        <v>1</v>
      </c>
      <c r="AN140" s="3">
        <f t="shared" si="16"/>
        <v>1</v>
      </c>
      <c r="AO140" s="3">
        <f t="shared" si="17"/>
        <v>0</v>
      </c>
      <c r="AP140" s="44">
        <f t="shared" si="18"/>
        <v>17629.93</v>
      </c>
      <c r="AQ140" s="48">
        <f t="shared" si="19"/>
        <v>16.76666667</v>
      </c>
      <c r="AR140" s="46">
        <f t="shared" si="20"/>
        <v>0.003092672064</v>
      </c>
      <c r="AS140" s="47">
        <f t="shared" si="21"/>
        <v>0.0000227925398</v>
      </c>
      <c r="AT140" s="5"/>
      <c r="AU140" s="49">
        <f t="shared" si="27"/>
        <v>17629.93</v>
      </c>
      <c r="AV140" s="50">
        <f t="shared" si="23"/>
        <v>1</v>
      </c>
      <c r="AW140" s="51">
        <f t="shared" si="24"/>
        <v>0.001710511981</v>
      </c>
      <c r="AX140" s="52">
        <f t="shared" si="25"/>
        <v>0.00001260622259</v>
      </c>
      <c r="AY140" s="5"/>
      <c r="AZ140" s="53">
        <f t="shared" si="26"/>
        <v>1</v>
      </c>
      <c r="BA140" s="5"/>
      <c r="BB140" s="5"/>
      <c r="BC140" s="5"/>
    </row>
    <row r="141" ht="12.75" customHeight="1">
      <c r="A141" s="25"/>
      <c r="B141" s="110" t="s">
        <v>272</v>
      </c>
      <c r="C141" s="111"/>
      <c r="D141" s="108">
        <v>30671.21</v>
      </c>
      <c r="E141" s="94" t="s">
        <v>49</v>
      </c>
      <c r="F141" s="30">
        <v>40369.0</v>
      </c>
      <c r="G141" s="31" t="s">
        <v>40</v>
      </c>
      <c r="H141" s="30">
        <v>40785.0</v>
      </c>
      <c r="I141" s="32">
        <f t="shared" si="1"/>
        <v>13.86666667</v>
      </c>
      <c r="J141" s="33" t="s">
        <v>49</v>
      </c>
      <c r="K141" s="34">
        <v>25000.0</v>
      </c>
      <c r="L141" s="35">
        <v>0.0</v>
      </c>
      <c r="M141" s="65">
        <v>0.0</v>
      </c>
      <c r="N141" s="65">
        <v>0.0</v>
      </c>
      <c r="O141" s="65">
        <v>0.0</v>
      </c>
      <c r="P141" s="35">
        <f t="shared" si="3"/>
        <v>5671.21</v>
      </c>
      <c r="Q141" s="36">
        <f t="shared" si="4"/>
        <v>0.184903367</v>
      </c>
      <c r="R141" s="36">
        <f t="shared" si="5"/>
        <v>0.815096633</v>
      </c>
      <c r="S141" s="37"/>
      <c r="T141" s="5"/>
      <c r="U141" s="54"/>
      <c r="V141" s="55"/>
      <c r="W141" s="55"/>
      <c r="X141" s="56"/>
      <c r="Y141" s="55"/>
      <c r="Z141" s="55"/>
      <c r="AA141" s="57"/>
      <c r="AB141" s="5"/>
      <c r="AC141" s="42">
        <f t="shared" si="6"/>
        <v>1</v>
      </c>
      <c r="AD141" s="3">
        <f t="shared" si="7"/>
        <v>1</v>
      </c>
      <c r="AE141" s="3">
        <f t="shared" si="8"/>
        <v>1</v>
      </c>
      <c r="AF141" s="43">
        <f t="shared" si="9"/>
        <v>0</v>
      </c>
      <c r="AG141" s="44">
        <f t="shared" si="10"/>
        <v>30671.21</v>
      </c>
      <c r="AH141" s="45">
        <f t="shared" si="11"/>
        <v>13.86666667</v>
      </c>
      <c r="AI141" s="46">
        <f t="shared" si="12"/>
        <v>0.006637343505</v>
      </c>
      <c r="AJ141" s="47">
        <f t="shared" si="13"/>
        <v>0.001227267162</v>
      </c>
      <c r="AK141" s="5"/>
      <c r="AL141" s="42">
        <f t="shared" si="14"/>
        <v>0</v>
      </c>
      <c r="AM141" s="3">
        <f t="shared" si="15"/>
        <v>1</v>
      </c>
      <c r="AN141" s="3">
        <f t="shared" si="16"/>
        <v>0</v>
      </c>
      <c r="AO141" s="3">
        <f t="shared" si="17"/>
        <v>0</v>
      </c>
      <c r="AP141" s="44">
        <f t="shared" si="18"/>
        <v>0</v>
      </c>
      <c r="AQ141" s="48">
        <f t="shared" si="19"/>
        <v>0</v>
      </c>
      <c r="AR141" s="46">
        <f t="shared" si="20"/>
        <v>0</v>
      </c>
      <c r="AS141" s="47">
        <f t="shared" si="21"/>
        <v>0</v>
      </c>
      <c r="AT141" s="5"/>
      <c r="AU141" s="49">
        <f t="shared" si="27"/>
        <v>30671.21</v>
      </c>
      <c r="AV141" s="50">
        <f t="shared" si="23"/>
        <v>1</v>
      </c>
      <c r="AW141" s="51">
        <f t="shared" si="24"/>
        <v>0.002975818519</v>
      </c>
      <c r="AX141" s="52">
        <f t="shared" si="25"/>
        <v>0.0005502388639</v>
      </c>
      <c r="AY141" s="5"/>
      <c r="AZ141" s="53">
        <f t="shared" si="26"/>
        <v>1</v>
      </c>
      <c r="BA141" s="5"/>
      <c r="BB141" s="5"/>
      <c r="BC141" s="5"/>
    </row>
    <row r="142" ht="12.75" customHeight="1">
      <c r="A142" s="25"/>
      <c r="B142" s="110" t="s">
        <v>273</v>
      </c>
      <c r="C142" s="111"/>
      <c r="D142" s="108">
        <v>11913.34</v>
      </c>
      <c r="E142" s="94" t="s">
        <v>49</v>
      </c>
      <c r="F142" s="30">
        <v>40369.0</v>
      </c>
      <c r="G142" s="32" t="s">
        <v>40</v>
      </c>
      <c r="H142" s="30">
        <v>40888.0</v>
      </c>
      <c r="I142" s="32">
        <f t="shared" si="1"/>
        <v>17.3</v>
      </c>
      <c r="J142" s="33" t="s">
        <v>274</v>
      </c>
      <c r="K142" s="34">
        <v>13000.0</v>
      </c>
      <c r="L142" s="35">
        <v>1059.17</v>
      </c>
      <c r="M142" s="65">
        <v>0.0</v>
      </c>
      <c r="N142" s="65">
        <v>0.0</v>
      </c>
      <c r="O142" s="65">
        <v>0.0</v>
      </c>
      <c r="P142" s="35">
        <f t="shared" si="3"/>
        <v>0</v>
      </c>
      <c r="Q142" s="36">
        <f t="shared" si="4"/>
        <v>0</v>
      </c>
      <c r="R142" s="36">
        <f t="shared" si="5"/>
        <v>1</v>
      </c>
      <c r="S142" s="37"/>
      <c r="T142" s="5"/>
      <c r="U142" s="54"/>
      <c r="V142" s="55"/>
      <c r="W142" s="55"/>
      <c r="X142" s="56"/>
      <c r="Y142" s="55"/>
      <c r="Z142" s="55"/>
      <c r="AA142" s="57"/>
      <c r="AB142" s="5"/>
      <c r="AC142" s="42">
        <f t="shared" si="6"/>
        <v>1</v>
      </c>
      <c r="AD142" s="3">
        <f t="shared" si="7"/>
        <v>1</v>
      </c>
      <c r="AE142" s="3">
        <f t="shared" si="8"/>
        <v>1</v>
      </c>
      <c r="AF142" s="43">
        <f t="shared" si="9"/>
        <v>0</v>
      </c>
      <c r="AG142" s="44">
        <f t="shared" si="10"/>
        <v>11913.34</v>
      </c>
      <c r="AH142" s="45">
        <f t="shared" si="11"/>
        <v>17.3</v>
      </c>
      <c r="AI142" s="46">
        <f t="shared" si="12"/>
        <v>0.002578083156</v>
      </c>
      <c r="AJ142" s="47">
        <f t="shared" si="13"/>
        <v>0</v>
      </c>
      <c r="AK142" s="5"/>
      <c r="AL142" s="42">
        <f t="shared" si="14"/>
        <v>0</v>
      </c>
      <c r="AM142" s="3">
        <f t="shared" si="15"/>
        <v>1</v>
      </c>
      <c r="AN142" s="3">
        <f t="shared" si="16"/>
        <v>0</v>
      </c>
      <c r="AO142" s="3">
        <f t="shared" si="17"/>
        <v>0</v>
      </c>
      <c r="AP142" s="44">
        <f t="shared" si="18"/>
        <v>0</v>
      </c>
      <c r="AQ142" s="48">
        <f t="shared" si="19"/>
        <v>0</v>
      </c>
      <c r="AR142" s="46">
        <f t="shared" si="20"/>
        <v>0</v>
      </c>
      <c r="AS142" s="47">
        <f t="shared" si="21"/>
        <v>0</v>
      </c>
      <c r="AT142" s="5"/>
      <c r="AU142" s="49">
        <f t="shared" si="27"/>
        <v>11913.34</v>
      </c>
      <c r="AV142" s="50">
        <f t="shared" si="23"/>
        <v>1</v>
      </c>
      <c r="AW142" s="51">
        <f t="shared" si="24"/>
        <v>0.001155870205</v>
      </c>
      <c r="AX142" s="52">
        <f t="shared" si="25"/>
        <v>0</v>
      </c>
      <c r="AY142" s="5"/>
      <c r="AZ142" s="53">
        <f t="shared" si="26"/>
        <v>1</v>
      </c>
      <c r="BA142" s="5"/>
      <c r="BB142" s="5"/>
      <c r="BC142" s="5"/>
    </row>
    <row r="143" ht="12.75" customHeight="1">
      <c r="A143" s="25"/>
      <c r="B143" s="110" t="s">
        <v>275</v>
      </c>
      <c r="C143" s="111"/>
      <c r="D143" s="108">
        <v>16524.06</v>
      </c>
      <c r="E143" s="94" t="s">
        <v>39</v>
      </c>
      <c r="F143" s="30">
        <v>40369.0</v>
      </c>
      <c r="G143" s="30" t="s">
        <v>40</v>
      </c>
      <c r="H143" s="30" t="s">
        <v>129</v>
      </c>
      <c r="I143" s="32" t="str">
        <f t="shared" si="1"/>
        <v>N/A</v>
      </c>
      <c r="J143" s="33" t="s">
        <v>129</v>
      </c>
      <c r="K143" s="106" t="s">
        <v>129</v>
      </c>
      <c r="L143" s="35">
        <f>29.08+3.22+25.4+8.08+0.2+0.44+1086.2</f>
        <v>1152.62</v>
      </c>
      <c r="M143" s="65">
        <v>150.0</v>
      </c>
      <c r="N143" s="65">
        <v>0.0</v>
      </c>
      <c r="O143" s="65">
        <v>0.0</v>
      </c>
      <c r="P143" s="35">
        <f t="shared" si="3"/>
        <v>0</v>
      </c>
      <c r="Q143" s="36" t="str">
        <f t="shared" si="4"/>
        <v>N/A</v>
      </c>
      <c r="R143" s="36" t="str">
        <f t="shared" si="5"/>
        <v>N/A</v>
      </c>
      <c r="S143" s="37"/>
      <c r="T143" s="5"/>
      <c r="U143" s="54"/>
      <c r="V143" s="55"/>
      <c r="W143" s="55"/>
      <c r="X143" s="56">
        <v>0.1</v>
      </c>
      <c r="Y143" s="55"/>
      <c r="Z143" s="55"/>
      <c r="AA143" s="57"/>
      <c r="AB143" s="5"/>
      <c r="AC143" s="42">
        <f t="shared" si="6"/>
        <v>0</v>
      </c>
      <c r="AD143" s="3">
        <f t="shared" si="7"/>
        <v>0</v>
      </c>
      <c r="AE143" s="3">
        <f t="shared" si="8"/>
        <v>0</v>
      </c>
      <c r="AF143" s="43">
        <f t="shared" si="9"/>
        <v>0</v>
      </c>
      <c r="AG143" s="44">
        <f t="shared" si="10"/>
        <v>0</v>
      </c>
      <c r="AH143" s="45">
        <f t="shared" si="11"/>
        <v>0</v>
      </c>
      <c r="AI143" s="46">
        <f t="shared" si="12"/>
        <v>0</v>
      </c>
      <c r="AJ143" s="47">
        <f t="shared" si="13"/>
        <v>0</v>
      </c>
      <c r="AK143" s="5"/>
      <c r="AL143" s="42">
        <f t="shared" si="14"/>
        <v>1</v>
      </c>
      <c r="AM143" s="3">
        <f t="shared" si="15"/>
        <v>0</v>
      </c>
      <c r="AN143" s="3">
        <f t="shared" si="16"/>
        <v>0</v>
      </c>
      <c r="AO143" s="3">
        <f t="shared" si="17"/>
        <v>0</v>
      </c>
      <c r="AP143" s="44">
        <f t="shared" si="18"/>
        <v>0</v>
      </c>
      <c r="AQ143" s="48">
        <f t="shared" si="19"/>
        <v>0</v>
      </c>
      <c r="AR143" s="46">
        <f t="shared" si="20"/>
        <v>0</v>
      </c>
      <c r="AS143" s="47">
        <f t="shared" si="21"/>
        <v>0</v>
      </c>
      <c r="AT143" s="5"/>
      <c r="AU143" s="49">
        <f t="shared" si="27"/>
        <v>0</v>
      </c>
      <c r="AV143" s="50">
        <f t="shared" si="23"/>
        <v>0</v>
      </c>
      <c r="AW143" s="51">
        <f t="shared" si="24"/>
        <v>0</v>
      </c>
      <c r="AX143" s="52">
        <f t="shared" si="25"/>
        <v>0</v>
      </c>
      <c r="AY143" s="5"/>
      <c r="AZ143" s="53">
        <f t="shared" si="26"/>
        <v>1</v>
      </c>
      <c r="BA143" s="5"/>
      <c r="BB143" s="5"/>
      <c r="BC143" s="5"/>
    </row>
    <row r="144" ht="12.75" customHeight="1">
      <c r="A144" s="25"/>
      <c r="B144" s="110" t="s">
        <v>276</v>
      </c>
      <c r="C144" s="111"/>
      <c r="D144" s="108">
        <v>45851.82</v>
      </c>
      <c r="E144" s="94" t="s">
        <v>49</v>
      </c>
      <c r="F144" s="30">
        <v>40369.0</v>
      </c>
      <c r="G144" s="30" t="s">
        <v>40</v>
      </c>
      <c r="H144" s="30" t="s">
        <v>129</v>
      </c>
      <c r="I144" s="32" t="str">
        <f t="shared" si="1"/>
        <v>N/A</v>
      </c>
      <c r="J144" s="33" t="s">
        <v>129</v>
      </c>
      <c r="K144" s="106" t="s">
        <v>129</v>
      </c>
      <c r="L144" s="35">
        <v>0.0</v>
      </c>
      <c r="M144" s="65">
        <v>0.0</v>
      </c>
      <c r="N144" s="65">
        <v>0.0</v>
      </c>
      <c r="O144" s="65">
        <v>0.0</v>
      </c>
      <c r="P144" s="35">
        <f t="shared" si="3"/>
        <v>0</v>
      </c>
      <c r="Q144" s="36" t="str">
        <f t="shared" si="4"/>
        <v>N/A</v>
      </c>
      <c r="R144" s="36" t="str">
        <f t="shared" si="5"/>
        <v>N/A</v>
      </c>
      <c r="S144" s="37"/>
      <c r="T144" s="5"/>
      <c r="U144" s="54"/>
      <c r="V144" s="55"/>
      <c r="W144" s="55"/>
      <c r="X144" s="56">
        <v>0.07</v>
      </c>
      <c r="Y144" s="55"/>
      <c r="Z144" s="55"/>
      <c r="AA144" s="57"/>
      <c r="AB144" s="5"/>
      <c r="AC144" s="42">
        <f t="shared" si="6"/>
        <v>1</v>
      </c>
      <c r="AD144" s="3">
        <f t="shared" si="7"/>
        <v>0</v>
      </c>
      <c r="AE144" s="3">
        <f t="shared" si="8"/>
        <v>0</v>
      </c>
      <c r="AF144" s="43">
        <f t="shared" si="9"/>
        <v>0</v>
      </c>
      <c r="AG144" s="44">
        <f t="shared" si="10"/>
        <v>0</v>
      </c>
      <c r="AH144" s="45">
        <f t="shared" si="11"/>
        <v>0</v>
      </c>
      <c r="AI144" s="46">
        <f t="shared" si="12"/>
        <v>0</v>
      </c>
      <c r="AJ144" s="47">
        <f t="shared" si="13"/>
        <v>0</v>
      </c>
      <c r="AK144" s="5"/>
      <c r="AL144" s="42">
        <f t="shared" si="14"/>
        <v>0</v>
      </c>
      <c r="AM144" s="3">
        <f t="shared" si="15"/>
        <v>0</v>
      </c>
      <c r="AN144" s="3">
        <f t="shared" si="16"/>
        <v>0</v>
      </c>
      <c r="AO144" s="3">
        <f t="shared" si="17"/>
        <v>0</v>
      </c>
      <c r="AP144" s="44">
        <f t="shared" si="18"/>
        <v>0</v>
      </c>
      <c r="AQ144" s="48">
        <f t="shared" si="19"/>
        <v>0</v>
      </c>
      <c r="AR144" s="46">
        <f t="shared" si="20"/>
        <v>0</v>
      </c>
      <c r="AS144" s="47">
        <f t="shared" si="21"/>
        <v>0</v>
      </c>
      <c r="AT144" s="5"/>
      <c r="AU144" s="49">
        <f t="shared" si="27"/>
        <v>0</v>
      </c>
      <c r="AV144" s="50">
        <f t="shared" si="23"/>
        <v>0</v>
      </c>
      <c r="AW144" s="51">
        <f t="shared" si="24"/>
        <v>0</v>
      </c>
      <c r="AX144" s="52">
        <f t="shared" si="25"/>
        <v>0</v>
      </c>
      <c r="AY144" s="5"/>
      <c r="AZ144" s="53">
        <f t="shared" si="26"/>
        <v>1</v>
      </c>
      <c r="BA144" s="5"/>
      <c r="BB144" s="5"/>
      <c r="BC144" s="5"/>
    </row>
    <row r="145" ht="12.75" customHeight="1">
      <c r="A145" s="25"/>
      <c r="B145" s="110" t="s">
        <v>277</v>
      </c>
      <c r="C145" s="111"/>
      <c r="D145" s="108">
        <v>19610.0</v>
      </c>
      <c r="E145" s="94" t="s">
        <v>39</v>
      </c>
      <c r="F145" s="30">
        <v>40400.0</v>
      </c>
      <c r="G145" s="31" t="s">
        <v>40</v>
      </c>
      <c r="H145" s="30">
        <v>40704.0</v>
      </c>
      <c r="I145" s="32">
        <f t="shared" si="1"/>
        <v>10.13333333</v>
      </c>
      <c r="J145" s="33" t="s">
        <v>278</v>
      </c>
      <c r="K145" s="34">
        <v>18000.0</v>
      </c>
      <c r="L145" s="35">
        <v>0.0</v>
      </c>
      <c r="M145" s="65">
        <v>0.0</v>
      </c>
      <c r="N145" s="65">
        <v>0.0</v>
      </c>
      <c r="O145" s="65">
        <f>IF(K145="N/A",0,IF(K145-D145&gt;0,0,D145-K145))</f>
        <v>1610</v>
      </c>
      <c r="P145" s="35">
        <f t="shared" si="3"/>
        <v>1610</v>
      </c>
      <c r="Q145" s="36">
        <f t="shared" si="4"/>
        <v>0.08210096889</v>
      </c>
      <c r="R145" s="36">
        <f t="shared" si="5"/>
        <v>0.9178990311</v>
      </c>
      <c r="S145" s="37"/>
      <c r="T145" s="5"/>
      <c r="U145" s="54"/>
      <c r="V145" s="55"/>
      <c r="W145" s="55"/>
      <c r="X145" s="56"/>
      <c r="Y145" s="55"/>
      <c r="Z145" s="55"/>
      <c r="AA145" s="57"/>
      <c r="AB145" s="5"/>
      <c r="AC145" s="42">
        <f t="shared" si="6"/>
        <v>0</v>
      </c>
      <c r="AD145" s="3">
        <f t="shared" si="7"/>
        <v>1</v>
      </c>
      <c r="AE145" s="3">
        <f t="shared" si="8"/>
        <v>0</v>
      </c>
      <c r="AF145" s="43">
        <f t="shared" si="9"/>
        <v>0</v>
      </c>
      <c r="AG145" s="44">
        <f t="shared" si="10"/>
        <v>0</v>
      </c>
      <c r="AH145" s="45">
        <f t="shared" si="11"/>
        <v>0</v>
      </c>
      <c r="AI145" s="46">
        <f t="shared" si="12"/>
        <v>0</v>
      </c>
      <c r="AJ145" s="47">
        <f t="shared" si="13"/>
        <v>0</v>
      </c>
      <c r="AK145" s="5"/>
      <c r="AL145" s="42">
        <f t="shared" si="14"/>
        <v>1</v>
      </c>
      <c r="AM145" s="3">
        <f t="shared" si="15"/>
        <v>1</v>
      </c>
      <c r="AN145" s="3">
        <f t="shared" si="16"/>
        <v>1</v>
      </c>
      <c r="AO145" s="3">
        <f t="shared" si="17"/>
        <v>0</v>
      </c>
      <c r="AP145" s="44">
        <f t="shared" si="18"/>
        <v>19610</v>
      </c>
      <c r="AQ145" s="48">
        <f t="shared" si="19"/>
        <v>10.13333333</v>
      </c>
      <c r="AR145" s="46">
        <f t="shared" si="20"/>
        <v>0.003440019283</v>
      </c>
      <c r="AS145" s="47">
        <f t="shared" si="21"/>
        <v>0.0002824289162</v>
      </c>
      <c r="AT145" s="5"/>
      <c r="AU145" s="49">
        <f t="shared" si="27"/>
        <v>19610</v>
      </c>
      <c r="AV145" s="50">
        <f t="shared" si="23"/>
        <v>1</v>
      </c>
      <c r="AW145" s="51">
        <f t="shared" si="24"/>
        <v>0.001902624682</v>
      </c>
      <c r="AX145" s="52">
        <f t="shared" si="25"/>
        <v>0.0001562073298</v>
      </c>
      <c r="AY145" s="5"/>
      <c r="AZ145" s="53">
        <f t="shared" si="26"/>
        <v>1</v>
      </c>
      <c r="BA145" s="5"/>
      <c r="BB145" s="5"/>
      <c r="BC145" s="5"/>
    </row>
    <row r="146" ht="12.75" customHeight="1">
      <c r="A146" s="25"/>
      <c r="B146" s="110" t="s">
        <v>178</v>
      </c>
      <c r="C146" s="111"/>
      <c r="D146" s="108">
        <v>10045.0</v>
      </c>
      <c r="E146" s="94" t="s">
        <v>39</v>
      </c>
      <c r="F146" s="30">
        <v>40401.0</v>
      </c>
      <c r="G146" s="32" t="s">
        <v>40</v>
      </c>
      <c r="H146" s="30">
        <v>40939.0</v>
      </c>
      <c r="I146" s="32">
        <f t="shared" si="1"/>
        <v>17.93333333</v>
      </c>
      <c r="J146" s="33" t="s">
        <v>161</v>
      </c>
      <c r="K146" s="34">
        <v>6000.0</v>
      </c>
      <c r="L146" s="35">
        <v>0.0</v>
      </c>
      <c r="M146" s="65">
        <v>0.0</v>
      </c>
      <c r="N146" s="65">
        <f>D146-K146+O146</f>
        <v>9517.32</v>
      </c>
      <c r="O146" s="65">
        <v>5472.32</v>
      </c>
      <c r="P146" s="35">
        <f t="shared" si="3"/>
        <v>13562.32</v>
      </c>
      <c r="Q146" s="36">
        <f t="shared" si="4"/>
        <v>1.350156297</v>
      </c>
      <c r="R146" s="36">
        <f t="shared" si="5"/>
        <v>0</v>
      </c>
      <c r="S146" s="37"/>
      <c r="T146" s="5"/>
      <c r="U146" s="54"/>
      <c r="V146" s="55"/>
      <c r="W146" s="55"/>
      <c r="X146" s="56"/>
      <c r="Y146" s="55"/>
      <c r="Z146" s="55"/>
      <c r="AA146" s="57"/>
      <c r="AB146" s="5"/>
      <c r="AC146" s="42">
        <f t="shared" si="6"/>
        <v>0</v>
      </c>
      <c r="AD146" s="3">
        <f t="shared" si="7"/>
        <v>1</v>
      </c>
      <c r="AE146" s="3">
        <f t="shared" si="8"/>
        <v>0</v>
      </c>
      <c r="AF146" s="43">
        <f t="shared" si="9"/>
        <v>0</v>
      </c>
      <c r="AG146" s="44">
        <f t="shared" si="10"/>
        <v>0</v>
      </c>
      <c r="AH146" s="45">
        <f t="shared" si="11"/>
        <v>0</v>
      </c>
      <c r="AI146" s="46">
        <f t="shared" si="12"/>
        <v>0</v>
      </c>
      <c r="AJ146" s="47">
        <f t="shared" si="13"/>
        <v>0</v>
      </c>
      <c r="AK146" s="5"/>
      <c r="AL146" s="42">
        <f t="shared" si="14"/>
        <v>1</v>
      </c>
      <c r="AM146" s="3">
        <f t="shared" si="15"/>
        <v>1</v>
      </c>
      <c r="AN146" s="3">
        <f t="shared" si="16"/>
        <v>1</v>
      </c>
      <c r="AO146" s="3">
        <f t="shared" si="17"/>
        <v>9517.32</v>
      </c>
      <c r="AP146" s="44">
        <f t="shared" si="18"/>
        <v>10045</v>
      </c>
      <c r="AQ146" s="48">
        <f t="shared" si="19"/>
        <v>17.93333333</v>
      </c>
      <c r="AR146" s="46">
        <f t="shared" si="20"/>
        <v>0.001762110847</v>
      </c>
      <c r="AS146" s="47">
        <f t="shared" si="21"/>
        <v>0.002379125055</v>
      </c>
      <c r="AT146" s="5"/>
      <c r="AU146" s="49">
        <f t="shared" si="27"/>
        <v>10045</v>
      </c>
      <c r="AV146" s="50">
        <f t="shared" si="23"/>
        <v>1</v>
      </c>
      <c r="AW146" s="51">
        <f t="shared" si="24"/>
        <v>0.0009745979055</v>
      </c>
      <c r="AX146" s="52">
        <f t="shared" si="25"/>
        <v>0.001315859499</v>
      </c>
      <c r="AY146" s="5"/>
      <c r="AZ146" s="53">
        <f t="shared" si="26"/>
        <v>1</v>
      </c>
      <c r="BA146" s="5"/>
      <c r="BB146" s="5"/>
      <c r="BC146" s="5"/>
    </row>
    <row r="147" ht="12.75" customHeight="1">
      <c r="A147" s="25"/>
      <c r="B147" s="110" t="s">
        <v>279</v>
      </c>
      <c r="C147" s="111"/>
      <c r="D147" s="108">
        <v>19370.29</v>
      </c>
      <c r="E147" s="94" t="s">
        <v>49</v>
      </c>
      <c r="F147" s="30">
        <v>40462.0</v>
      </c>
      <c r="G147" s="31" t="s">
        <v>40</v>
      </c>
      <c r="H147" s="30">
        <v>40786.0</v>
      </c>
      <c r="I147" s="32">
        <f t="shared" si="1"/>
        <v>10.8</v>
      </c>
      <c r="J147" s="33" t="s">
        <v>280</v>
      </c>
      <c r="K147" s="34">
        <v>18500.0</v>
      </c>
      <c r="L147" s="35">
        <v>0.0</v>
      </c>
      <c r="M147" s="65">
        <v>0.0</v>
      </c>
      <c r="N147" s="65">
        <v>0.0</v>
      </c>
      <c r="O147" s="65">
        <f t="shared" ref="O147:O159" si="42">IF(K147="N/A",0,IF(K147-D147&gt;0,0,D147-K147))</f>
        <v>870.29</v>
      </c>
      <c r="P147" s="35">
        <f t="shared" si="3"/>
        <v>870.29</v>
      </c>
      <c r="Q147" s="36">
        <f t="shared" si="4"/>
        <v>0.04492911567</v>
      </c>
      <c r="R147" s="36">
        <f t="shared" si="5"/>
        <v>0.9550708843</v>
      </c>
      <c r="S147" s="37"/>
      <c r="T147" s="5"/>
      <c r="U147" s="54"/>
      <c r="V147" s="55"/>
      <c r="W147" s="55"/>
      <c r="X147" s="56"/>
      <c r="Y147" s="55"/>
      <c r="Z147" s="55"/>
      <c r="AA147" s="57"/>
      <c r="AB147" s="5"/>
      <c r="AC147" s="42">
        <f t="shared" si="6"/>
        <v>1</v>
      </c>
      <c r="AD147" s="3">
        <f t="shared" si="7"/>
        <v>1</v>
      </c>
      <c r="AE147" s="3">
        <f t="shared" si="8"/>
        <v>1</v>
      </c>
      <c r="AF147" s="43">
        <f t="shared" si="9"/>
        <v>0</v>
      </c>
      <c r="AG147" s="44">
        <f t="shared" si="10"/>
        <v>19370.29</v>
      </c>
      <c r="AH147" s="45">
        <f t="shared" si="11"/>
        <v>10.8</v>
      </c>
      <c r="AI147" s="46">
        <f t="shared" si="12"/>
        <v>0.004191789907</v>
      </c>
      <c r="AJ147" s="47">
        <f t="shared" si="13"/>
        <v>0.0001883334136</v>
      </c>
      <c r="AK147" s="5"/>
      <c r="AL147" s="42">
        <f t="shared" si="14"/>
        <v>0</v>
      </c>
      <c r="AM147" s="3">
        <f t="shared" si="15"/>
        <v>1</v>
      </c>
      <c r="AN147" s="3">
        <f t="shared" si="16"/>
        <v>0</v>
      </c>
      <c r="AO147" s="3">
        <f t="shared" si="17"/>
        <v>0</v>
      </c>
      <c r="AP147" s="44">
        <f t="shared" si="18"/>
        <v>0</v>
      </c>
      <c r="AQ147" s="48">
        <f t="shared" si="19"/>
        <v>0</v>
      </c>
      <c r="AR147" s="46">
        <f t="shared" si="20"/>
        <v>0</v>
      </c>
      <c r="AS147" s="47">
        <f t="shared" si="21"/>
        <v>0</v>
      </c>
      <c r="AT147" s="5"/>
      <c r="AU147" s="49">
        <f t="shared" si="27"/>
        <v>19370.29</v>
      </c>
      <c r="AV147" s="50">
        <f t="shared" si="23"/>
        <v>1</v>
      </c>
      <c r="AW147" s="51">
        <f t="shared" si="24"/>
        <v>0.001879367254</v>
      </c>
      <c r="AX147" s="52">
        <f t="shared" si="25"/>
        <v>0.00008443830873</v>
      </c>
      <c r="AY147" s="5"/>
      <c r="AZ147" s="53">
        <f t="shared" si="26"/>
        <v>1</v>
      </c>
      <c r="BA147" s="5"/>
      <c r="BB147" s="5"/>
      <c r="BC147" s="5"/>
    </row>
    <row r="148" ht="12.75" customHeight="1">
      <c r="A148" s="25"/>
      <c r="B148" s="110" t="s">
        <v>281</v>
      </c>
      <c r="C148" s="111"/>
      <c r="D148" s="108">
        <v>15307.99</v>
      </c>
      <c r="E148" s="94" t="s">
        <v>49</v>
      </c>
      <c r="F148" s="30">
        <v>40522.0</v>
      </c>
      <c r="G148" s="31" t="s">
        <v>40</v>
      </c>
      <c r="H148" s="30">
        <v>40522.0</v>
      </c>
      <c r="I148" s="32">
        <f t="shared" si="1"/>
        <v>0</v>
      </c>
      <c r="J148" s="33" t="s">
        <v>129</v>
      </c>
      <c r="K148" s="34">
        <v>22000.0</v>
      </c>
      <c r="L148" s="35">
        <v>0.0</v>
      </c>
      <c r="M148" s="65">
        <v>0.0</v>
      </c>
      <c r="N148" s="65">
        <v>0.0</v>
      </c>
      <c r="O148" s="65">
        <f t="shared" si="42"/>
        <v>0</v>
      </c>
      <c r="P148" s="35">
        <f t="shared" si="3"/>
        <v>0</v>
      </c>
      <c r="Q148" s="36">
        <f t="shared" si="4"/>
        <v>0</v>
      </c>
      <c r="R148" s="36">
        <f t="shared" si="5"/>
        <v>1</v>
      </c>
      <c r="S148" s="37"/>
      <c r="T148" s="5"/>
      <c r="U148" s="54"/>
      <c r="V148" s="55"/>
      <c r="W148" s="55"/>
      <c r="X148" s="56"/>
      <c r="Y148" s="55"/>
      <c r="Z148" s="55"/>
      <c r="AA148" s="57"/>
      <c r="AB148" s="5"/>
      <c r="AC148" s="42">
        <f t="shared" si="6"/>
        <v>1</v>
      </c>
      <c r="AD148" s="3">
        <f t="shared" si="7"/>
        <v>1</v>
      </c>
      <c r="AE148" s="3">
        <f t="shared" si="8"/>
        <v>1</v>
      </c>
      <c r="AF148" s="43">
        <f t="shared" si="9"/>
        <v>0</v>
      </c>
      <c r="AG148" s="44">
        <f t="shared" si="10"/>
        <v>15307.99</v>
      </c>
      <c r="AH148" s="45">
        <f t="shared" si="11"/>
        <v>0</v>
      </c>
      <c r="AI148" s="46">
        <f t="shared" si="12"/>
        <v>0.003312695782</v>
      </c>
      <c r="AJ148" s="47">
        <f t="shared" si="13"/>
        <v>0</v>
      </c>
      <c r="AK148" s="5"/>
      <c r="AL148" s="42">
        <f t="shared" si="14"/>
        <v>0</v>
      </c>
      <c r="AM148" s="3">
        <f t="shared" si="15"/>
        <v>1</v>
      </c>
      <c r="AN148" s="3">
        <f t="shared" si="16"/>
        <v>0</v>
      </c>
      <c r="AO148" s="3">
        <f t="shared" si="17"/>
        <v>0</v>
      </c>
      <c r="AP148" s="44">
        <f t="shared" si="18"/>
        <v>0</v>
      </c>
      <c r="AQ148" s="48">
        <f t="shared" si="19"/>
        <v>0</v>
      </c>
      <c r="AR148" s="46">
        <f t="shared" si="20"/>
        <v>0</v>
      </c>
      <c r="AS148" s="47">
        <f t="shared" si="21"/>
        <v>0</v>
      </c>
      <c r="AT148" s="5"/>
      <c r="AU148" s="49">
        <f t="shared" si="27"/>
        <v>15307.99</v>
      </c>
      <c r="AV148" s="50">
        <f t="shared" si="23"/>
        <v>1</v>
      </c>
      <c r="AW148" s="51">
        <f t="shared" si="24"/>
        <v>0.001485229964</v>
      </c>
      <c r="AX148" s="52">
        <f t="shared" si="25"/>
        <v>0</v>
      </c>
      <c r="AY148" s="5"/>
      <c r="AZ148" s="53">
        <f t="shared" si="26"/>
        <v>1</v>
      </c>
      <c r="BA148" s="5"/>
      <c r="BB148" s="5"/>
      <c r="BC148" s="5"/>
    </row>
    <row r="149" ht="12.75" customHeight="1">
      <c r="A149" s="25"/>
      <c r="B149" s="27" t="s">
        <v>282</v>
      </c>
      <c r="C149" s="27"/>
      <c r="D149" s="28">
        <v>19732.57</v>
      </c>
      <c r="E149" s="94" t="s">
        <v>49</v>
      </c>
      <c r="F149" s="30">
        <v>40522.0</v>
      </c>
      <c r="G149" s="31" t="s">
        <v>40</v>
      </c>
      <c r="H149" s="30">
        <v>40522.0</v>
      </c>
      <c r="I149" s="32">
        <f t="shared" si="1"/>
        <v>0</v>
      </c>
      <c r="J149" s="33" t="s">
        <v>129</v>
      </c>
      <c r="K149" s="34">
        <v>27500.0</v>
      </c>
      <c r="L149" s="35">
        <v>0.0</v>
      </c>
      <c r="M149" s="65">
        <v>0.0</v>
      </c>
      <c r="N149" s="65">
        <v>0.0</v>
      </c>
      <c r="O149" s="65">
        <f t="shared" si="42"/>
        <v>0</v>
      </c>
      <c r="P149" s="35">
        <f t="shared" si="3"/>
        <v>0</v>
      </c>
      <c r="Q149" s="36">
        <f t="shared" si="4"/>
        <v>0</v>
      </c>
      <c r="R149" s="36">
        <f t="shared" si="5"/>
        <v>1</v>
      </c>
      <c r="S149" s="37"/>
      <c r="T149" s="5"/>
      <c r="U149" s="54"/>
      <c r="V149" s="55"/>
      <c r="W149" s="55"/>
      <c r="X149" s="56"/>
      <c r="Y149" s="55"/>
      <c r="Z149" s="55"/>
      <c r="AA149" s="57"/>
      <c r="AB149" s="5"/>
      <c r="AC149" s="42">
        <f t="shared" si="6"/>
        <v>1</v>
      </c>
      <c r="AD149" s="3">
        <f t="shared" si="7"/>
        <v>1</v>
      </c>
      <c r="AE149" s="3">
        <f t="shared" si="8"/>
        <v>1</v>
      </c>
      <c r="AF149" s="43">
        <f t="shared" si="9"/>
        <v>0</v>
      </c>
      <c r="AG149" s="44">
        <f t="shared" si="10"/>
        <v>19732.57</v>
      </c>
      <c r="AH149" s="45">
        <f t="shared" si="11"/>
        <v>0</v>
      </c>
      <c r="AI149" s="46">
        <f t="shared" si="12"/>
        <v>0.004270188405</v>
      </c>
      <c r="AJ149" s="47">
        <f t="shared" si="13"/>
        <v>0</v>
      </c>
      <c r="AK149" s="5"/>
      <c r="AL149" s="42">
        <f t="shared" si="14"/>
        <v>0</v>
      </c>
      <c r="AM149" s="3">
        <f t="shared" si="15"/>
        <v>1</v>
      </c>
      <c r="AN149" s="3">
        <f t="shared" si="16"/>
        <v>0</v>
      </c>
      <c r="AO149" s="3">
        <f t="shared" si="17"/>
        <v>0</v>
      </c>
      <c r="AP149" s="44">
        <f t="shared" si="18"/>
        <v>0</v>
      </c>
      <c r="AQ149" s="48">
        <f t="shared" si="19"/>
        <v>0</v>
      </c>
      <c r="AR149" s="46">
        <f t="shared" si="20"/>
        <v>0</v>
      </c>
      <c r="AS149" s="47">
        <f t="shared" si="21"/>
        <v>0</v>
      </c>
      <c r="AT149" s="5"/>
      <c r="AU149" s="49">
        <f t="shared" si="27"/>
        <v>19732.57</v>
      </c>
      <c r="AV149" s="50">
        <f t="shared" si="23"/>
        <v>1</v>
      </c>
      <c r="AW149" s="51">
        <f t="shared" si="24"/>
        <v>0.001914516814</v>
      </c>
      <c r="AX149" s="52">
        <f t="shared" si="25"/>
        <v>0</v>
      </c>
      <c r="AY149" s="5"/>
      <c r="AZ149" s="53">
        <f t="shared" si="26"/>
        <v>1</v>
      </c>
      <c r="BA149" s="5"/>
      <c r="BB149" s="5"/>
      <c r="BC149" s="5"/>
    </row>
    <row r="150" ht="12.75" customHeight="1">
      <c r="A150" s="25"/>
      <c r="B150" s="27" t="s">
        <v>283</v>
      </c>
      <c r="C150" s="27"/>
      <c r="D150" s="28">
        <v>17662.58</v>
      </c>
      <c r="E150" s="94" t="s">
        <v>49</v>
      </c>
      <c r="F150" s="30">
        <v>40522.0</v>
      </c>
      <c r="G150" s="31" t="s">
        <v>40</v>
      </c>
      <c r="H150" s="30">
        <v>40721.0</v>
      </c>
      <c r="I150" s="32">
        <f t="shared" si="1"/>
        <v>6.633333333</v>
      </c>
      <c r="J150" s="33" t="s">
        <v>129</v>
      </c>
      <c r="K150" s="34">
        <v>18500.0</v>
      </c>
      <c r="L150" s="35">
        <v>0.0</v>
      </c>
      <c r="M150" s="65">
        <v>0.0</v>
      </c>
      <c r="N150" s="65">
        <v>0.0</v>
      </c>
      <c r="O150" s="65">
        <f t="shared" si="42"/>
        <v>0</v>
      </c>
      <c r="P150" s="35">
        <f t="shared" si="3"/>
        <v>0</v>
      </c>
      <c r="Q150" s="36">
        <f t="shared" si="4"/>
        <v>0</v>
      </c>
      <c r="R150" s="36">
        <f t="shared" si="5"/>
        <v>1</v>
      </c>
      <c r="S150" s="37"/>
      <c r="T150" s="5"/>
      <c r="U150" s="54"/>
      <c r="V150" s="55"/>
      <c r="W150" s="55"/>
      <c r="X150" s="56"/>
      <c r="Y150" s="55"/>
      <c r="Z150" s="55"/>
      <c r="AA150" s="57"/>
      <c r="AB150" s="5"/>
      <c r="AC150" s="42">
        <f t="shared" si="6"/>
        <v>1</v>
      </c>
      <c r="AD150" s="3">
        <f t="shared" si="7"/>
        <v>1</v>
      </c>
      <c r="AE150" s="3">
        <f t="shared" si="8"/>
        <v>1</v>
      </c>
      <c r="AF150" s="43">
        <f t="shared" si="9"/>
        <v>0</v>
      </c>
      <c r="AG150" s="44">
        <f t="shared" si="10"/>
        <v>17662.58</v>
      </c>
      <c r="AH150" s="45">
        <f t="shared" si="11"/>
        <v>6.633333333</v>
      </c>
      <c r="AI150" s="46">
        <f t="shared" si="12"/>
        <v>0.003822236248</v>
      </c>
      <c r="AJ150" s="47">
        <f t="shared" si="13"/>
        <v>0</v>
      </c>
      <c r="AK150" s="5"/>
      <c r="AL150" s="42">
        <f t="shared" si="14"/>
        <v>0</v>
      </c>
      <c r="AM150" s="3">
        <f t="shared" si="15"/>
        <v>1</v>
      </c>
      <c r="AN150" s="3">
        <f t="shared" si="16"/>
        <v>0</v>
      </c>
      <c r="AO150" s="3">
        <f t="shared" si="17"/>
        <v>0</v>
      </c>
      <c r="AP150" s="44">
        <f t="shared" si="18"/>
        <v>0</v>
      </c>
      <c r="AQ150" s="48">
        <f t="shared" si="19"/>
        <v>0</v>
      </c>
      <c r="AR150" s="46">
        <f t="shared" si="20"/>
        <v>0</v>
      </c>
      <c r="AS150" s="47">
        <f t="shared" si="21"/>
        <v>0</v>
      </c>
      <c r="AT150" s="5"/>
      <c r="AU150" s="49">
        <f t="shared" si="27"/>
        <v>17662.58</v>
      </c>
      <c r="AV150" s="50">
        <f t="shared" si="23"/>
        <v>1</v>
      </c>
      <c r="AW150" s="51">
        <f t="shared" si="24"/>
        <v>0.001713679788</v>
      </c>
      <c r="AX150" s="52">
        <f t="shared" si="25"/>
        <v>0</v>
      </c>
      <c r="AY150" s="5"/>
      <c r="AZ150" s="53">
        <f t="shared" si="26"/>
        <v>1</v>
      </c>
      <c r="BA150" s="5"/>
      <c r="BB150" s="5"/>
      <c r="BC150" s="5"/>
    </row>
    <row r="151" ht="12.75" customHeight="1">
      <c r="A151" s="25"/>
      <c r="B151" s="27" t="s">
        <v>284</v>
      </c>
      <c r="C151" s="27"/>
      <c r="D151" s="28">
        <v>17477.41</v>
      </c>
      <c r="E151" s="94" t="s">
        <v>49</v>
      </c>
      <c r="F151" s="30">
        <v>40522.0</v>
      </c>
      <c r="G151" s="32" t="s">
        <v>40</v>
      </c>
      <c r="H151" s="30">
        <v>40816.0</v>
      </c>
      <c r="I151" s="32">
        <f t="shared" si="1"/>
        <v>9.8</v>
      </c>
      <c r="J151" s="33" t="s">
        <v>285</v>
      </c>
      <c r="K151" s="34">
        <v>18000.0</v>
      </c>
      <c r="L151" s="35">
        <v>0.0</v>
      </c>
      <c r="M151" s="65">
        <v>0.0</v>
      </c>
      <c r="N151" s="65">
        <v>0.0</v>
      </c>
      <c r="O151" s="65">
        <f t="shared" si="42"/>
        <v>0</v>
      </c>
      <c r="P151" s="35">
        <f t="shared" si="3"/>
        <v>0</v>
      </c>
      <c r="Q151" s="36">
        <f t="shared" si="4"/>
        <v>0</v>
      </c>
      <c r="R151" s="36">
        <f t="shared" si="5"/>
        <v>1</v>
      </c>
      <c r="S151" s="37"/>
      <c r="T151" s="5"/>
      <c r="U151" s="54"/>
      <c r="V151" s="55"/>
      <c r="W151" s="55"/>
      <c r="X151" s="56"/>
      <c r="Y151" s="55"/>
      <c r="Z151" s="55"/>
      <c r="AA151" s="57"/>
      <c r="AB151" s="5"/>
      <c r="AC151" s="42">
        <f t="shared" si="6"/>
        <v>1</v>
      </c>
      <c r="AD151" s="3">
        <f t="shared" si="7"/>
        <v>1</v>
      </c>
      <c r="AE151" s="3">
        <f t="shared" si="8"/>
        <v>1</v>
      </c>
      <c r="AF151" s="43">
        <f t="shared" si="9"/>
        <v>0</v>
      </c>
      <c r="AG151" s="44">
        <f t="shared" si="10"/>
        <v>17477.41</v>
      </c>
      <c r="AH151" s="45">
        <f t="shared" si="11"/>
        <v>9.8</v>
      </c>
      <c r="AI151" s="46">
        <f t="shared" si="12"/>
        <v>0.003782164895</v>
      </c>
      <c r="AJ151" s="47">
        <f t="shared" si="13"/>
        <v>0</v>
      </c>
      <c r="AK151" s="5"/>
      <c r="AL151" s="42">
        <f t="shared" si="14"/>
        <v>0</v>
      </c>
      <c r="AM151" s="3">
        <f t="shared" si="15"/>
        <v>1</v>
      </c>
      <c r="AN151" s="3">
        <f t="shared" si="16"/>
        <v>0</v>
      </c>
      <c r="AO151" s="3">
        <f t="shared" si="17"/>
        <v>0</v>
      </c>
      <c r="AP151" s="44">
        <f t="shared" si="18"/>
        <v>0</v>
      </c>
      <c r="AQ151" s="48">
        <f t="shared" si="19"/>
        <v>0</v>
      </c>
      <c r="AR151" s="46">
        <f t="shared" si="20"/>
        <v>0</v>
      </c>
      <c r="AS151" s="47">
        <f t="shared" si="21"/>
        <v>0</v>
      </c>
      <c r="AT151" s="5"/>
      <c r="AU151" s="49">
        <f t="shared" si="27"/>
        <v>17477.41</v>
      </c>
      <c r="AV151" s="50">
        <f t="shared" si="23"/>
        <v>1</v>
      </c>
      <c r="AW151" s="51">
        <f t="shared" si="24"/>
        <v>0.001695714005</v>
      </c>
      <c r="AX151" s="52">
        <f t="shared" si="25"/>
        <v>0</v>
      </c>
      <c r="AY151" s="5"/>
      <c r="AZ151" s="53">
        <f t="shared" si="26"/>
        <v>1</v>
      </c>
      <c r="BA151" s="5"/>
      <c r="BB151" s="5"/>
      <c r="BC151" s="5"/>
    </row>
    <row r="152" ht="12.75" customHeight="1">
      <c r="A152" s="25"/>
      <c r="B152" s="27" t="s">
        <v>286</v>
      </c>
      <c r="C152" s="27"/>
      <c r="D152" s="28">
        <v>12188.61</v>
      </c>
      <c r="E152" s="94" t="s">
        <v>49</v>
      </c>
      <c r="F152" s="30">
        <v>40522.0</v>
      </c>
      <c r="G152" s="31" t="s">
        <v>40</v>
      </c>
      <c r="H152" s="30">
        <v>40828.0</v>
      </c>
      <c r="I152" s="32">
        <f t="shared" si="1"/>
        <v>10.2</v>
      </c>
      <c r="J152" s="33" t="s">
        <v>287</v>
      </c>
      <c r="K152" s="34">
        <v>14000.0</v>
      </c>
      <c r="L152" s="35">
        <v>0.0</v>
      </c>
      <c r="M152" s="65">
        <v>0.0</v>
      </c>
      <c r="N152" s="65">
        <v>0.0</v>
      </c>
      <c r="O152" s="65">
        <f t="shared" si="42"/>
        <v>0</v>
      </c>
      <c r="P152" s="35">
        <f t="shared" si="3"/>
        <v>0</v>
      </c>
      <c r="Q152" s="36">
        <f t="shared" si="4"/>
        <v>0</v>
      </c>
      <c r="R152" s="36">
        <f t="shared" si="5"/>
        <v>1</v>
      </c>
      <c r="S152" s="37"/>
      <c r="T152" s="5"/>
      <c r="U152" s="54"/>
      <c r="V152" s="55"/>
      <c r="W152" s="55"/>
      <c r="X152" s="56"/>
      <c r="Y152" s="55"/>
      <c r="Z152" s="55"/>
      <c r="AA152" s="57"/>
      <c r="AB152" s="5"/>
      <c r="AC152" s="42">
        <f t="shared" si="6"/>
        <v>1</v>
      </c>
      <c r="AD152" s="3">
        <f t="shared" si="7"/>
        <v>1</v>
      </c>
      <c r="AE152" s="3">
        <f t="shared" si="8"/>
        <v>1</v>
      </c>
      <c r="AF152" s="43">
        <f t="shared" si="9"/>
        <v>0</v>
      </c>
      <c r="AG152" s="44">
        <f t="shared" si="10"/>
        <v>12188.61</v>
      </c>
      <c r="AH152" s="45">
        <f t="shared" si="11"/>
        <v>10.2</v>
      </c>
      <c r="AI152" s="46">
        <f t="shared" si="12"/>
        <v>0.002637652424</v>
      </c>
      <c r="AJ152" s="47">
        <f t="shared" si="13"/>
        <v>0</v>
      </c>
      <c r="AK152" s="5"/>
      <c r="AL152" s="42">
        <f t="shared" si="14"/>
        <v>0</v>
      </c>
      <c r="AM152" s="3">
        <f t="shared" si="15"/>
        <v>1</v>
      </c>
      <c r="AN152" s="3">
        <f t="shared" si="16"/>
        <v>0</v>
      </c>
      <c r="AO152" s="3">
        <f t="shared" si="17"/>
        <v>0</v>
      </c>
      <c r="AP152" s="44">
        <f t="shared" si="18"/>
        <v>0</v>
      </c>
      <c r="AQ152" s="48">
        <f t="shared" si="19"/>
        <v>0</v>
      </c>
      <c r="AR152" s="46">
        <f t="shared" si="20"/>
        <v>0</v>
      </c>
      <c r="AS152" s="47">
        <f t="shared" si="21"/>
        <v>0</v>
      </c>
      <c r="AT152" s="5"/>
      <c r="AU152" s="49">
        <f t="shared" si="27"/>
        <v>12188.61</v>
      </c>
      <c r="AV152" s="50">
        <f t="shared" si="23"/>
        <v>1</v>
      </c>
      <c r="AW152" s="51">
        <f t="shared" si="24"/>
        <v>0.001182577778</v>
      </c>
      <c r="AX152" s="52">
        <f t="shared" si="25"/>
        <v>0</v>
      </c>
      <c r="AY152" s="5"/>
      <c r="AZ152" s="53">
        <f t="shared" si="26"/>
        <v>1</v>
      </c>
      <c r="BA152" s="5"/>
      <c r="BB152" s="5"/>
      <c r="BC152" s="5"/>
    </row>
    <row r="153" ht="12.75" customHeight="1">
      <c r="A153" s="69"/>
      <c r="B153" s="27" t="s">
        <v>288</v>
      </c>
      <c r="C153" s="27"/>
      <c r="D153" s="28">
        <v>21602.07</v>
      </c>
      <c r="E153" s="94" t="s">
        <v>49</v>
      </c>
      <c r="F153" s="30">
        <v>40522.0</v>
      </c>
      <c r="G153" s="32" t="s">
        <v>40</v>
      </c>
      <c r="H153" s="30">
        <v>40939.0</v>
      </c>
      <c r="I153" s="32">
        <f t="shared" si="1"/>
        <v>13.9</v>
      </c>
      <c r="J153" s="33" t="s">
        <v>289</v>
      </c>
      <c r="K153" s="34">
        <v>20000.0</v>
      </c>
      <c r="L153" s="35">
        <v>0.0</v>
      </c>
      <c r="M153" s="65">
        <v>0.0</v>
      </c>
      <c r="N153" s="65">
        <v>0.0</v>
      </c>
      <c r="O153" s="65">
        <f t="shared" si="42"/>
        <v>1602.07</v>
      </c>
      <c r="P153" s="35">
        <f t="shared" si="3"/>
        <v>1602.07</v>
      </c>
      <c r="Q153" s="36">
        <f t="shared" si="4"/>
        <v>0.07416280014</v>
      </c>
      <c r="R153" s="36">
        <f t="shared" si="5"/>
        <v>0.9258371999</v>
      </c>
      <c r="S153" s="37"/>
      <c r="T153" s="5"/>
      <c r="U153" s="54"/>
      <c r="V153" s="55"/>
      <c r="W153" s="55"/>
      <c r="X153" s="56"/>
      <c r="Y153" s="55"/>
      <c r="Z153" s="55"/>
      <c r="AA153" s="57"/>
      <c r="AB153" s="5"/>
      <c r="AC153" s="42">
        <f t="shared" si="6"/>
        <v>1</v>
      </c>
      <c r="AD153" s="3">
        <f t="shared" si="7"/>
        <v>1</v>
      </c>
      <c r="AE153" s="3">
        <f t="shared" si="8"/>
        <v>1</v>
      </c>
      <c r="AF153" s="43">
        <f t="shared" si="9"/>
        <v>0</v>
      </c>
      <c r="AG153" s="44">
        <f t="shared" si="10"/>
        <v>21602.07</v>
      </c>
      <c r="AH153" s="45">
        <f t="shared" si="11"/>
        <v>13.9</v>
      </c>
      <c r="AI153" s="46">
        <f t="shared" si="12"/>
        <v>0.004674753914</v>
      </c>
      <c r="AJ153" s="47">
        <f t="shared" si="13"/>
        <v>0.0003466928402</v>
      </c>
      <c r="AK153" s="5"/>
      <c r="AL153" s="42">
        <f t="shared" si="14"/>
        <v>0</v>
      </c>
      <c r="AM153" s="3">
        <f t="shared" si="15"/>
        <v>1</v>
      </c>
      <c r="AN153" s="3">
        <f t="shared" si="16"/>
        <v>0</v>
      </c>
      <c r="AO153" s="3">
        <f t="shared" si="17"/>
        <v>0</v>
      </c>
      <c r="AP153" s="44">
        <f t="shared" si="18"/>
        <v>0</v>
      </c>
      <c r="AQ153" s="48">
        <f t="shared" si="19"/>
        <v>0</v>
      </c>
      <c r="AR153" s="46">
        <f t="shared" si="20"/>
        <v>0</v>
      </c>
      <c r="AS153" s="47">
        <f t="shared" si="21"/>
        <v>0</v>
      </c>
      <c r="AT153" s="5"/>
      <c r="AU153" s="49">
        <f t="shared" si="27"/>
        <v>21602.07</v>
      </c>
      <c r="AV153" s="50">
        <f t="shared" si="23"/>
        <v>1</v>
      </c>
      <c r="AW153" s="51">
        <f t="shared" si="24"/>
        <v>0.00209590166</v>
      </c>
      <c r="AX153" s="52">
        <f t="shared" si="25"/>
        <v>0.0001554379359</v>
      </c>
      <c r="AY153" s="5"/>
      <c r="AZ153" s="53">
        <f t="shared" si="26"/>
        <v>1</v>
      </c>
      <c r="BA153" s="5"/>
      <c r="BB153" s="5"/>
      <c r="BC153" s="5"/>
    </row>
    <row r="154" ht="12.75" customHeight="1">
      <c r="A154" s="25"/>
      <c r="B154" s="27" t="s">
        <v>290</v>
      </c>
      <c r="C154" s="27"/>
      <c r="D154" s="28">
        <v>8765.52</v>
      </c>
      <c r="E154" s="94" t="s">
        <v>49</v>
      </c>
      <c r="F154" s="30">
        <v>40522.0</v>
      </c>
      <c r="G154" s="31" t="s">
        <v>40</v>
      </c>
      <c r="H154" s="30">
        <v>41030.0</v>
      </c>
      <c r="I154" s="32">
        <f t="shared" si="1"/>
        <v>16.93333333</v>
      </c>
      <c r="J154" s="33" t="s">
        <v>216</v>
      </c>
      <c r="K154" s="34">
        <v>9000.0</v>
      </c>
      <c r="L154" s="35">
        <v>0.0</v>
      </c>
      <c r="M154" s="65">
        <v>0.0</v>
      </c>
      <c r="N154" s="65">
        <v>0.0</v>
      </c>
      <c r="O154" s="65">
        <f t="shared" si="42"/>
        <v>0</v>
      </c>
      <c r="P154" s="35">
        <f t="shared" si="3"/>
        <v>0</v>
      </c>
      <c r="Q154" s="36">
        <f t="shared" si="4"/>
        <v>0</v>
      </c>
      <c r="R154" s="36">
        <f t="shared" si="5"/>
        <v>1</v>
      </c>
      <c r="S154" s="37"/>
      <c r="T154" s="5"/>
      <c r="U154" s="54"/>
      <c r="V154" s="55"/>
      <c r="W154" s="55"/>
      <c r="X154" s="56"/>
      <c r="Y154" s="55"/>
      <c r="Z154" s="55"/>
      <c r="AA154" s="57"/>
      <c r="AB154" s="5"/>
      <c r="AC154" s="42">
        <f t="shared" si="6"/>
        <v>1</v>
      </c>
      <c r="AD154" s="3">
        <f t="shared" si="7"/>
        <v>1</v>
      </c>
      <c r="AE154" s="3">
        <f t="shared" si="8"/>
        <v>1</v>
      </c>
      <c r="AF154" s="43">
        <f t="shared" si="9"/>
        <v>0</v>
      </c>
      <c r="AG154" s="44">
        <f t="shared" si="10"/>
        <v>8765.52</v>
      </c>
      <c r="AH154" s="45">
        <f t="shared" si="11"/>
        <v>16.93333333</v>
      </c>
      <c r="AI154" s="46">
        <f t="shared" si="12"/>
        <v>0.001896885295</v>
      </c>
      <c r="AJ154" s="47">
        <f t="shared" si="13"/>
        <v>0</v>
      </c>
      <c r="AK154" s="5"/>
      <c r="AL154" s="42">
        <f t="shared" si="14"/>
        <v>0</v>
      </c>
      <c r="AM154" s="3">
        <f t="shared" si="15"/>
        <v>1</v>
      </c>
      <c r="AN154" s="3">
        <f t="shared" si="16"/>
        <v>0</v>
      </c>
      <c r="AO154" s="3">
        <f t="shared" si="17"/>
        <v>0</v>
      </c>
      <c r="AP154" s="44">
        <f t="shared" si="18"/>
        <v>0</v>
      </c>
      <c r="AQ154" s="48">
        <f t="shared" si="19"/>
        <v>0</v>
      </c>
      <c r="AR154" s="46">
        <f t="shared" si="20"/>
        <v>0</v>
      </c>
      <c r="AS154" s="47">
        <f t="shared" si="21"/>
        <v>0</v>
      </c>
      <c r="AT154" s="5"/>
      <c r="AU154" s="49">
        <f t="shared" si="27"/>
        <v>8765.52</v>
      </c>
      <c r="AV154" s="50">
        <f t="shared" si="23"/>
        <v>1</v>
      </c>
      <c r="AW154" s="51">
        <f t="shared" si="24"/>
        <v>0.0008504586792</v>
      </c>
      <c r="AX154" s="52">
        <f t="shared" si="25"/>
        <v>0</v>
      </c>
      <c r="AY154" s="5"/>
      <c r="AZ154" s="53">
        <f t="shared" si="26"/>
        <v>1</v>
      </c>
      <c r="BA154" s="5"/>
      <c r="BB154" s="5"/>
      <c r="BC154" s="5"/>
    </row>
    <row r="155" ht="12.75" customHeight="1">
      <c r="A155" s="25"/>
      <c r="B155" s="27" t="s">
        <v>291</v>
      </c>
      <c r="C155" s="27"/>
      <c r="D155" s="28">
        <v>24258.15</v>
      </c>
      <c r="E155" s="94" t="s">
        <v>49</v>
      </c>
      <c r="F155" s="30">
        <v>40522.0</v>
      </c>
      <c r="G155" s="31" t="s">
        <v>40</v>
      </c>
      <c r="H155" s="30">
        <v>41242.0</v>
      </c>
      <c r="I155" s="32">
        <f t="shared" si="1"/>
        <v>24</v>
      </c>
      <c r="J155" s="33" t="s">
        <v>292</v>
      </c>
      <c r="K155" s="34">
        <v>25000.0</v>
      </c>
      <c r="L155" s="35">
        <f>46.4+94.04+31.55+65+10.1</f>
        <v>247.09</v>
      </c>
      <c r="M155" s="65">
        <f>2047.85-1126.19</f>
        <v>921.66</v>
      </c>
      <c r="N155" s="65">
        <v>0.0</v>
      </c>
      <c r="O155" s="65">
        <f t="shared" si="42"/>
        <v>0</v>
      </c>
      <c r="P155" s="35">
        <f t="shared" si="3"/>
        <v>426.9</v>
      </c>
      <c r="Q155" s="36">
        <f t="shared" si="4"/>
        <v>0.01759820926</v>
      </c>
      <c r="R155" s="36">
        <f t="shared" si="5"/>
        <v>0.9824017907</v>
      </c>
      <c r="S155" s="37"/>
      <c r="T155" s="5"/>
      <c r="U155" s="54"/>
      <c r="V155" s="55"/>
      <c r="W155" s="55"/>
      <c r="X155" s="56"/>
      <c r="Y155" s="55"/>
      <c r="Z155" s="55"/>
      <c r="AA155" s="57"/>
      <c r="AB155" s="5"/>
      <c r="AC155" s="42">
        <f t="shared" si="6"/>
        <v>1</v>
      </c>
      <c r="AD155" s="3">
        <f t="shared" si="7"/>
        <v>1</v>
      </c>
      <c r="AE155" s="3">
        <f t="shared" si="8"/>
        <v>1</v>
      </c>
      <c r="AF155" s="43">
        <f t="shared" si="9"/>
        <v>921.66</v>
      </c>
      <c r="AG155" s="44">
        <f t="shared" si="10"/>
        <v>24258.15</v>
      </c>
      <c r="AH155" s="45">
        <f t="shared" si="11"/>
        <v>24</v>
      </c>
      <c r="AI155" s="46">
        <f t="shared" si="12"/>
        <v>0.005249537737</v>
      </c>
      <c r="AJ155" s="47">
        <f t="shared" si="13"/>
        <v>0.00009238246362</v>
      </c>
      <c r="AK155" s="5"/>
      <c r="AL155" s="42">
        <f t="shared" si="14"/>
        <v>0</v>
      </c>
      <c r="AM155" s="3">
        <f t="shared" si="15"/>
        <v>1</v>
      </c>
      <c r="AN155" s="3">
        <f t="shared" si="16"/>
        <v>0</v>
      </c>
      <c r="AO155" s="3">
        <f t="shared" si="17"/>
        <v>0</v>
      </c>
      <c r="AP155" s="44">
        <f t="shared" si="18"/>
        <v>0</v>
      </c>
      <c r="AQ155" s="48">
        <f t="shared" si="19"/>
        <v>0</v>
      </c>
      <c r="AR155" s="46">
        <f t="shared" si="20"/>
        <v>0</v>
      </c>
      <c r="AS155" s="47">
        <f t="shared" si="21"/>
        <v>0</v>
      </c>
      <c r="AT155" s="5"/>
      <c r="AU155" s="49">
        <f t="shared" si="27"/>
        <v>24258.15</v>
      </c>
      <c r="AV155" s="50">
        <f t="shared" si="23"/>
        <v>1</v>
      </c>
      <c r="AW155" s="51">
        <f t="shared" si="24"/>
        <v>0.002353603005</v>
      </c>
      <c r="AX155" s="52">
        <f t="shared" si="25"/>
        <v>0.0000414191982</v>
      </c>
      <c r="AY155" s="5"/>
      <c r="AZ155" s="53">
        <f t="shared" si="26"/>
        <v>1</v>
      </c>
      <c r="BA155" s="5"/>
      <c r="BB155" s="5"/>
      <c r="BC155" s="5"/>
    </row>
    <row r="156" ht="12.75" customHeight="1">
      <c r="A156" s="25"/>
      <c r="B156" s="27" t="s">
        <v>293</v>
      </c>
      <c r="C156" s="27"/>
      <c r="D156" s="63">
        <v>19178.5</v>
      </c>
      <c r="E156" s="94" t="s">
        <v>49</v>
      </c>
      <c r="F156" s="30">
        <v>40522.0</v>
      </c>
      <c r="G156" s="31" t="s">
        <v>40</v>
      </c>
      <c r="H156" s="30">
        <v>41422.0</v>
      </c>
      <c r="I156" s="32">
        <f t="shared" si="1"/>
        <v>30</v>
      </c>
      <c r="J156" s="33" t="s">
        <v>294</v>
      </c>
      <c r="K156" s="34">
        <v>18000.0</v>
      </c>
      <c r="L156" s="112">
        <v>881.19</v>
      </c>
      <c r="M156" s="65">
        <v>3188.7</v>
      </c>
      <c r="N156" s="65">
        <v>0.0</v>
      </c>
      <c r="O156" s="65">
        <f t="shared" si="42"/>
        <v>1178.5</v>
      </c>
      <c r="P156" s="35">
        <f t="shared" si="3"/>
        <v>5248.39</v>
      </c>
      <c r="Q156" s="36">
        <f t="shared" si="4"/>
        <v>0.2736600881</v>
      </c>
      <c r="R156" s="36">
        <f t="shared" si="5"/>
        <v>0.7263399119</v>
      </c>
      <c r="S156" s="37"/>
      <c r="T156" s="5"/>
      <c r="U156" s="54">
        <v>148.2</v>
      </c>
      <c r="V156" s="55">
        <v>931.08</v>
      </c>
      <c r="W156" s="55">
        <f>U156+V156</f>
        <v>1079.28</v>
      </c>
      <c r="X156" s="56">
        <v>0.0775</v>
      </c>
      <c r="Y156" s="55">
        <f>((X156*D156)/365)*180</f>
        <v>732.9865068</v>
      </c>
      <c r="Z156" s="55">
        <f t="shared" ref="Z156:Z410" si="43">IF(Y156&lt;W156,Y156,W156)</f>
        <v>732.9865068</v>
      </c>
      <c r="AA156" s="57">
        <f t="shared" ref="AA156:AA414" si="44">U156+Z156</f>
        <v>881.1865068</v>
      </c>
      <c r="AB156" s="5"/>
      <c r="AC156" s="42">
        <f t="shared" si="6"/>
        <v>1</v>
      </c>
      <c r="AD156" s="3">
        <f t="shared" si="7"/>
        <v>1</v>
      </c>
      <c r="AE156" s="3">
        <f t="shared" si="8"/>
        <v>1</v>
      </c>
      <c r="AF156" s="43">
        <f t="shared" si="9"/>
        <v>3188.7</v>
      </c>
      <c r="AG156" s="44">
        <f t="shared" si="10"/>
        <v>19178.5</v>
      </c>
      <c r="AH156" s="45">
        <f t="shared" si="11"/>
        <v>30</v>
      </c>
      <c r="AI156" s="46">
        <f t="shared" si="12"/>
        <v>0.004150285965</v>
      </c>
      <c r="AJ156" s="47">
        <f t="shared" si="13"/>
        <v>0.001135767623</v>
      </c>
      <c r="AK156" s="5"/>
      <c r="AL156" s="42">
        <f t="shared" si="14"/>
        <v>0</v>
      </c>
      <c r="AM156" s="3">
        <f t="shared" si="15"/>
        <v>1</v>
      </c>
      <c r="AN156" s="3">
        <f t="shared" si="16"/>
        <v>0</v>
      </c>
      <c r="AO156" s="3">
        <f t="shared" si="17"/>
        <v>0</v>
      </c>
      <c r="AP156" s="44">
        <f t="shared" si="18"/>
        <v>0</v>
      </c>
      <c r="AQ156" s="48">
        <f t="shared" si="19"/>
        <v>0</v>
      </c>
      <c r="AR156" s="46">
        <f t="shared" si="20"/>
        <v>0</v>
      </c>
      <c r="AS156" s="47">
        <f t="shared" si="21"/>
        <v>0</v>
      </c>
      <c r="AT156" s="5"/>
      <c r="AU156" s="49">
        <f t="shared" si="27"/>
        <v>19178.5</v>
      </c>
      <c r="AV156" s="50">
        <f t="shared" si="23"/>
        <v>1</v>
      </c>
      <c r="AW156" s="51">
        <f t="shared" si="24"/>
        <v>0.001860759177</v>
      </c>
      <c r="AX156" s="52">
        <f t="shared" si="25"/>
        <v>0.0005092155203</v>
      </c>
      <c r="AY156" s="5"/>
      <c r="AZ156" s="53">
        <f t="shared" si="26"/>
        <v>1</v>
      </c>
      <c r="BA156" s="5"/>
      <c r="BB156" s="5"/>
      <c r="BC156" s="5"/>
    </row>
    <row r="157" ht="12.75" customHeight="1">
      <c r="A157" s="25"/>
      <c r="B157" s="27" t="s">
        <v>295</v>
      </c>
      <c r="C157" s="27"/>
      <c r="D157" s="63">
        <v>24277.58</v>
      </c>
      <c r="E157" s="94" t="s">
        <v>39</v>
      </c>
      <c r="F157" s="30">
        <v>40523.0</v>
      </c>
      <c r="G157" s="32" t="s">
        <v>40</v>
      </c>
      <c r="H157" s="30">
        <v>40877.0</v>
      </c>
      <c r="I157" s="32">
        <f t="shared" si="1"/>
        <v>11.8</v>
      </c>
      <c r="J157" s="33" t="s">
        <v>49</v>
      </c>
      <c r="K157" s="34">
        <v>22000.0</v>
      </c>
      <c r="L157" s="35">
        <v>0.0</v>
      </c>
      <c r="M157" s="65">
        <v>0.0</v>
      </c>
      <c r="N157" s="65">
        <v>0.0</v>
      </c>
      <c r="O157" s="65">
        <f t="shared" si="42"/>
        <v>2277.58</v>
      </c>
      <c r="P157" s="35">
        <f t="shared" si="3"/>
        <v>2277.58</v>
      </c>
      <c r="Q157" s="36">
        <f t="shared" si="4"/>
        <v>0.0938141281</v>
      </c>
      <c r="R157" s="36">
        <f t="shared" si="5"/>
        <v>0.9061858719</v>
      </c>
      <c r="S157" s="37"/>
      <c r="T157" s="5"/>
      <c r="U157" s="54"/>
      <c r="V157" s="55"/>
      <c r="W157" s="55"/>
      <c r="X157" s="56"/>
      <c r="Y157" s="55"/>
      <c r="Z157" s="55" t="str">
        <f t="shared" si="43"/>
        <v/>
      </c>
      <c r="AA157" s="57">
        <f t="shared" si="44"/>
        <v>0</v>
      </c>
      <c r="AB157" s="5"/>
      <c r="AC157" s="42">
        <f t="shared" si="6"/>
        <v>0</v>
      </c>
      <c r="AD157" s="3">
        <f t="shared" si="7"/>
        <v>1</v>
      </c>
      <c r="AE157" s="3">
        <f t="shared" si="8"/>
        <v>0</v>
      </c>
      <c r="AF157" s="43">
        <f t="shared" si="9"/>
        <v>0</v>
      </c>
      <c r="AG157" s="44">
        <f t="shared" si="10"/>
        <v>0</v>
      </c>
      <c r="AH157" s="45">
        <f t="shared" si="11"/>
        <v>0</v>
      </c>
      <c r="AI157" s="46">
        <f t="shared" si="12"/>
        <v>0</v>
      </c>
      <c r="AJ157" s="47">
        <f t="shared" si="13"/>
        <v>0</v>
      </c>
      <c r="AK157" s="5"/>
      <c r="AL157" s="42">
        <f t="shared" si="14"/>
        <v>1</v>
      </c>
      <c r="AM157" s="3">
        <f t="shared" si="15"/>
        <v>1</v>
      </c>
      <c r="AN157" s="3">
        <f t="shared" si="16"/>
        <v>1</v>
      </c>
      <c r="AO157" s="3">
        <f t="shared" si="17"/>
        <v>0</v>
      </c>
      <c r="AP157" s="44">
        <f t="shared" si="18"/>
        <v>24277.58</v>
      </c>
      <c r="AQ157" s="48">
        <f t="shared" si="19"/>
        <v>11.8</v>
      </c>
      <c r="AR157" s="46">
        <f t="shared" si="20"/>
        <v>0.004258814042</v>
      </c>
      <c r="AS157" s="47">
        <f t="shared" si="21"/>
        <v>0.000399536926</v>
      </c>
      <c r="AT157" s="5"/>
      <c r="AU157" s="49">
        <f t="shared" si="27"/>
        <v>24277.58</v>
      </c>
      <c r="AV157" s="50">
        <f t="shared" si="23"/>
        <v>1</v>
      </c>
      <c r="AW157" s="51">
        <f t="shared" si="24"/>
        <v>0.002355488165</v>
      </c>
      <c r="AX157" s="52">
        <f t="shared" si="25"/>
        <v>0.0002209780685</v>
      </c>
      <c r="AY157" s="5"/>
      <c r="AZ157" s="53">
        <f t="shared" si="26"/>
        <v>1</v>
      </c>
      <c r="BA157" s="5"/>
      <c r="BB157" s="5"/>
      <c r="BC157" s="5"/>
    </row>
    <row r="158" ht="12.75" customHeight="1">
      <c r="A158" s="69"/>
      <c r="B158" s="27" t="s">
        <v>296</v>
      </c>
      <c r="C158" s="27"/>
      <c r="D158" s="63">
        <v>21308.43</v>
      </c>
      <c r="E158" s="94" t="s">
        <v>39</v>
      </c>
      <c r="F158" s="30">
        <v>40554.0</v>
      </c>
      <c r="G158" s="32" t="s">
        <v>40</v>
      </c>
      <c r="H158" s="30">
        <v>41135.0</v>
      </c>
      <c r="I158" s="32">
        <f t="shared" si="1"/>
        <v>19.36666667</v>
      </c>
      <c r="J158" s="33" t="s">
        <v>297</v>
      </c>
      <c r="K158" s="34">
        <v>20000.0</v>
      </c>
      <c r="L158" s="35">
        <v>0.0</v>
      </c>
      <c r="M158" s="65">
        <v>0.0</v>
      </c>
      <c r="N158" s="65">
        <v>0.0</v>
      </c>
      <c r="O158" s="65">
        <f t="shared" si="42"/>
        <v>1308.43</v>
      </c>
      <c r="P158" s="35">
        <f t="shared" si="3"/>
        <v>1308.43</v>
      </c>
      <c r="Q158" s="36">
        <f t="shared" si="4"/>
        <v>0.06140433622</v>
      </c>
      <c r="R158" s="36">
        <f t="shared" si="5"/>
        <v>0.9385956638</v>
      </c>
      <c r="S158" s="37"/>
      <c r="T158" s="5"/>
      <c r="U158" s="54"/>
      <c r="V158" s="55"/>
      <c r="W158" s="55"/>
      <c r="X158" s="56"/>
      <c r="Y158" s="55"/>
      <c r="Z158" s="55" t="str">
        <f t="shared" si="43"/>
        <v/>
      </c>
      <c r="AA158" s="57">
        <f t="shared" si="44"/>
        <v>0</v>
      </c>
      <c r="AB158" s="5"/>
      <c r="AC158" s="42">
        <f t="shared" si="6"/>
        <v>0</v>
      </c>
      <c r="AD158" s="3">
        <f t="shared" si="7"/>
        <v>1</v>
      </c>
      <c r="AE158" s="3">
        <f t="shared" si="8"/>
        <v>0</v>
      </c>
      <c r="AF158" s="43">
        <f t="shared" si="9"/>
        <v>0</v>
      </c>
      <c r="AG158" s="44">
        <f t="shared" si="10"/>
        <v>0</v>
      </c>
      <c r="AH158" s="45">
        <f t="shared" si="11"/>
        <v>0</v>
      </c>
      <c r="AI158" s="46">
        <f t="shared" si="12"/>
        <v>0</v>
      </c>
      <c r="AJ158" s="47">
        <f t="shared" si="13"/>
        <v>0</v>
      </c>
      <c r="AK158" s="5"/>
      <c r="AL158" s="42">
        <f t="shared" si="14"/>
        <v>1</v>
      </c>
      <c r="AM158" s="3">
        <f t="shared" si="15"/>
        <v>1</v>
      </c>
      <c r="AN158" s="3">
        <f t="shared" si="16"/>
        <v>1</v>
      </c>
      <c r="AO158" s="3">
        <f t="shared" si="17"/>
        <v>0</v>
      </c>
      <c r="AP158" s="44">
        <f t="shared" si="18"/>
        <v>21308.43</v>
      </c>
      <c r="AQ158" s="48">
        <f t="shared" si="19"/>
        <v>19.36666667</v>
      </c>
      <c r="AR158" s="46">
        <f t="shared" si="20"/>
        <v>0.003737960739</v>
      </c>
      <c r="AS158" s="47">
        <f t="shared" si="21"/>
        <v>0.000229526998</v>
      </c>
      <c r="AT158" s="5"/>
      <c r="AU158" s="49">
        <f t="shared" si="27"/>
        <v>21308.43</v>
      </c>
      <c r="AV158" s="50">
        <f t="shared" si="23"/>
        <v>1</v>
      </c>
      <c r="AW158" s="51">
        <f t="shared" si="24"/>
        <v>0.002067411772</v>
      </c>
      <c r="AX158" s="52">
        <f t="shared" si="25"/>
        <v>0.0001269480475</v>
      </c>
      <c r="AY158" s="5"/>
      <c r="AZ158" s="53">
        <f t="shared" si="26"/>
        <v>1</v>
      </c>
      <c r="BA158" s="5"/>
      <c r="BB158" s="5"/>
      <c r="BC158" s="5"/>
    </row>
    <row r="159" ht="12.75" customHeight="1">
      <c r="A159" s="25"/>
      <c r="B159" s="27" t="s">
        <v>298</v>
      </c>
      <c r="C159" s="27"/>
      <c r="D159" s="63">
        <v>29890.0</v>
      </c>
      <c r="E159" s="94" t="s">
        <v>39</v>
      </c>
      <c r="F159" s="30">
        <v>40585.0</v>
      </c>
      <c r="G159" s="31" t="s">
        <v>40</v>
      </c>
      <c r="H159" s="30">
        <v>40754.0</v>
      </c>
      <c r="I159" s="32">
        <f t="shared" si="1"/>
        <v>5.633333333</v>
      </c>
      <c r="J159" s="33" t="s">
        <v>299</v>
      </c>
      <c r="K159" s="34">
        <v>30000.0</v>
      </c>
      <c r="L159" s="35">
        <v>0.0</v>
      </c>
      <c r="M159" s="65">
        <v>0.0</v>
      </c>
      <c r="N159" s="65">
        <v>0.0</v>
      </c>
      <c r="O159" s="65">
        <f t="shared" si="42"/>
        <v>0</v>
      </c>
      <c r="P159" s="35">
        <f t="shared" si="3"/>
        <v>0</v>
      </c>
      <c r="Q159" s="36">
        <f t="shared" si="4"/>
        <v>0</v>
      </c>
      <c r="R159" s="36">
        <f t="shared" si="5"/>
        <v>1</v>
      </c>
      <c r="S159" s="37"/>
      <c r="T159" s="5"/>
      <c r="U159" s="54"/>
      <c r="V159" s="55"/>
      <c r="W159" s="55"/>
      <c r="X159" s="56"/>
      <c r="Y159" s="55"/>
      <c r="Z159" s="55" t="str">
        <f t="shared" si="43"/>
        <v/>
      </c>
      <c r="AA159" s="57">
        <f t="shared" si="44"/>
        <v>0</v>
      </c>
      <c r="AB159" s="5"/>
      <c r="AC159" s="42">
        <f t="shared" si="6"/>
        <v>0</v>
      </c>
      <c r="AD159" s="3">
        <f t="shared" si="7"/>
        <v>1</v>
      </c>
      <c r="AE159" s="3">
        <f t="shared" si="8"/>
        <v>0</v>
      </c>
      <c r="AF159" s="43">
        <f t="shared" si="9"/>
        <v>0</v>
      </c>
      <c r="AG159" s="44">
        <f t="shared" si="10"/>
        <v>0</v>
      </c>
      <c r="AH159" s="45">
        <f t="shared" si="11"/>
        <v>0</v>
      </c>
      <c r="AI159" s="46">
        <f t="shared" si="12"/>
        <v>0</v>
      </c>
      <c r="AJ159" s="47">
        <f t="shared" si="13"/>
        <v>0</v>
      </c>
      <c r="AK159" s="5"/>
      <c r="AL159" s="42">
        <f t="shared" si="14"/>
        <v>1</v>
      </c>
      <c r="AM159" s="3">
        <f t="shared" si="15"/>
        <v>1</v>
      </c>
      <c r="AN159" s="3">
        <f t="shared" si="16"/>
        <v>1</v>
      </c>
      <c r="AO159" s="3">
        <f t="shared" si="17"/>
        <v>0</v>
      </c>
      <c r="AP159" s="44">
        <f t="shared" si="18"/>
        <v>29890</v>
      </c>
      <c r="AQ159" s="48">
        <f t="shared" si="19"/>
        <v>5.633333333</v>
      </c>
      <c r="AR159" s="46">
        <f t="shared" si="20"/>
        <v>0.005243354227</v>
      </c>
      <c r="AS159" s="47">
        <f t="shared" si="21"/>
        <v>0</v>
      </c>
      <c r="AT159" s="5"/>
      <c r="AU159" s="49">
        <f t="shared" si="27"/>
        <v>29890</v>
      </c>
      <c r="AV159" s="50">
        <f t="shared" si="23"/>
        <v>1</v>
      </c>
      <c r="AW159" s="51">
        <f t="shared" si="24"/>
        <v>0.002900023036</v>
      </c>
      <c r="AX159" s="52">
        <f t="shared" si="25"/>
        <v>0</v>
      </c>
      <c r="AY159" s="5"/>
      <c r="AZ159" s="53">
        <f t="shared" si="26"/>
        <v>1</v>
      </c>
      <c r="BA159" s="5"/>
      <c r="BB159" s="5"/>
      <c r="BC159" s="5"/>
    </row>
    <row r="160" ht="12.75" customHeight="1">
      <c r="A160" s="25"/>
      <c r="B160" s="27" t="s">
        <v>300</v>
      </c>
      <c r="C160" s="27"/>
      <c r="D160" s="63">
        <v>17236.14</v>
      </c>
      <c r="E160" s="94" t="s">
        <v>49</v>
      </c>
      <c r="F160" s="30">
        <v>40603.0</v>
      </c>
      <c r="G160" s="32" t="s">
        <v>40</v>
      </c>
      <c r="H160" s="30">
        <v>40695.0</v>
      </c>
      <c r="I160" s="32">
        <f t="shared" si="1"/>
        <v>3.066666667</v>
      </c>
      <c r="J160" s="33" t="s">
        <v>66</v>
      </c>
      <c r="K160" s="34">
        <v>22000.0</v>
      </c>
      <c r="L160" s="35">
        <v>0.0</v>
      </c>
      <c r="M160" s="65">
        <v>0.0</v>
      </c>
      <c r="N160" s="65">
        <f>66.67+900</f>
        <v>966.67</v>
      </c>
      <c r="O160" s="65">
        <v>0.0</v>
      </c>
      <c r="P160" s="35">
        <f t="shared" si="3"/>
        <v>0</v>
      </c>
      <c r="Q160" s="36">
        <f t="shared" si="4"/>
        <v>0</v>
      </c>
      <c r="R160" s="36">
        <f t="shared" si="5"/>
        <v>1</v>
      </c>
      <c r="S160" s="37"/>
      <c r="T160" s="5"/>
      <c r="U160" s="54"/>
      <c r="V160" s="55"/>
      <c r="W160" s="55"/>
      <c r="X160" s="56"/>
      <c r="Y160" s="55"/>
      <c r="Z160" s="55" t="str">
        <f t="shared" si="43"/>
        <v/>
      </c>
      <c r="AA160" s="57">
        <f t="shared" si="44"/>
        <v>0</v>
      </c>
      <c r="AB160" s="5"/>
      <c r="AC160" s="42">
        <f t="shared" si="6"/>
        <v>1</v>
      </c>
      <c r="AD160" s="3">
        <f t="shared" si="7"/>
        <v>1</v>
      </c>
      <c r="AE160" s="3">
        <f t="shared" si="8"/>
        <v>1</v>
      </c>
      <c r="AF160" s="43">
        <f t="shared" si="9"/>
        <v>966.67</v>
      </c>
      <c r="AG160" s="44">
        <f t="shared" si="10"/>
        <v>17236.14</v>
      </c>
      <c r="AH160" s="45">
        <f t="shared" si="11"/>
        <v>3.066666667</v>
      </c>
      <c r="AI160" s="46">
        <f t="shared" si="12"/>
        <v>0.00372995333</v>
      </c>
      <c r="AJ160" s="47">
        <f t="shared" si="13"/>
        <v>0</v>
      </c>
      <c r="AK160" s="5"/>
      <c r="AL160" s="42">
        <f t="shared" si="14"/>
        <v>0</v>
      </c>
      <c r="AM160" s="3">
        <f t="shared" si="15"/>
        <v>1</v>
      </c>
      <c r="AN160" s="3">
        <f t="shared" si="16"/>
        <v>0</v>
      </c>
      <c r="AO160" s="3">
        <f t="shared" si="17"/>
        <v>0</v>
      </c>
      <c r="AP160" s="44">
        <f t="shared" si="18"/>
        <v>0</v>
      </c>
      <c r="AQ160" s="48">
        <f t="shared" si="19"/>
        <v>0</v>
      </c>
      <c r="AR160" s="46">
        <f t="shared" si="20"/>
        <v>0</v>
      </c>
      <c r="AS160" s="47">
        <f t="shared" si="21"/>
        <v>0</v>
      </c>
      <c r="AT160" s="5"/>
      <c r="AU160" s="49">
        <f t="shared" si="27"/>
        <v>17236.14</v>
      </c>
      <c r="AV160" s="50">
        <f t="shared" si="23"/>
        <v>1</v>
      </c>
      <c r="AW160" s="51">
        <f t="shared" si="24"/>
        <v>0.001672305221</v>
      </c>
      <c r="AX160" s="52">
        <f t="shared" si="25"/>
        <v>0</v>
      </c>
      <c r="AY160" s="5"/>
      <c r="AZ160" s="53">
        <f t="shared" si="26"/>
        <v>1</v>
      </c>
      <c r="BA160" s="5"/>
      <c r="BB160" s="5"/>
      <c r="BC160" s="5"/>
    </row>
    <row r="161" ht="12.75" customHeight="1">
      <c r="A161" s="25"/>
      <c r="B161" s="27" t="s">
        <v>301</v>
      </c>
      <c r="C161" s="27"/>
      <c r="D161" s="63">
        <v>20498.95</v>
      </c>
      <c r="E161" s="94" t="s">
        <v>49</v>
      </c>
      <c r="F161" s="30">
        <v>40603.0</v>
      </c>
      <c r="G161" s="31" t="s">
        <v>40</v>
      </c>
      <c r="H161" s="30">
        <v>40695.0</v>
      </c>
      <c r="I161" s="32">
        <f t="shared" si="1"/>
        <v>3.066666667</v>
      </c>
      <c r="J161" s="33" t="s">
        <v>129</v>
      </c>
      <c r="K161" s="34">
        <v>25060.0</v>
      </c>
      <c r="L161" s="35">
        <v>0.0</v>
      </c>
      <c r="M161" s="65">
        <v>0.0</v>
      </c>
      <c r="N161" s="65">
        <v>0.0</v>
      </c>
      <c r="O161" s="65">
        <f t="shared" ref="O161:O174" si="45">IF(K161="N/A",0,IF(K161-D161&gt;0,0,D161-K161))</f>
        <v>0</v>
      </c>
      <c r="P161" s="35">
        <f t="shared" si="3"/>
        <v>0</v>
      </c>
      <c r="Q161" s="36">
        <f t="shared" si="4"/>
        <v>0</v>
      </c>
      <c r="R161" s="36">
        <f t="shared" si="5"/>
        <v>1</v>
      </c>
      <c r="S161" s="37"/>
      <c r="T161" s="5"/>
      <c r="U161" s="54"/>
      <c r="V161" s="55"/>
      <c r="W161" s="55"/>
      <c r="X161" s="56"/>
      <c r="Y161" s="55"/>
      <c r="Z161" s="55" t="str">
        <f t="shared" si="43"/>
        <v/>
      </c>
      <c r="AA161" s="57">
        <f t="shared" si="44"/>
        <v>0</v>
      </c>
      <c r="AB161" s="5"/>
      <c r="AC161" s="42">
        <f t="shared" si="6"/>
        <v>1</v>
      </c>
      <c r="AD161" s="3">
        <f t="shared" si="7"/>
        <v>1</v>
      </c>
      <c r="AE161" s="3">
        <f t="shared" si="8"/>
        <v>1</v>
      </c>
      <c r="AF161" s="43">
        <f t="shared" si="9"/>
        <v>0</v>
      </c>
      <c r="AG161" s="44">
        <f t="shared" si="10"/>
        <v>20498.95</v>
      </c>
      <c r="AH161" s="45">
        <f t="shared" si="11"/>
        <v>3.066666667</v>
      </c>
      <c r="AI161" s="46">
        <f t="shared" si="12"/>
        <v>0.004436035378</v>
      </c>
      <c r="AJ161" s="47">
        <f t="shared" si="13"/>
        <v>0</v>
      </c>
      <c r="AK161" s="5"/>
      <c r="AL161" s="42">
        <f t="shared" si="14"/>
        <v>0</v>
      </c>
      <c r="AM161" s="3">
        <f t="shared" si="15"/>
        <v>1</v>
      </c>
      <c r="AN161" s="3">
        <f t="shared" si="16"/>
        <v>0</v>
      </c>
      <c r="AO161" s="3">
        <f t="shared" si="17"/>
        <v>0</v>
      </c>
      <c r="AP161" s="44">
        <f t="shared" si="18"/>
        <v>0</v>
      </c>
      <c r="AQ161" s="48">
        <f t="shared" si="19"/>
        <v>0</v>
      </c>
      <c r="AR161" s="46">
        <f t="shared" si="20"/>
        <v>0</v>
      </c>
      <c r="AS161" s="47">
        <f t="shared" si="21"/>
        <v>0</v>
      </c>
      <c r="AT161" s="5"/>
      <c r="AU161" s="49">
        <f t="shared" si="27"/>
        <v>20498.95</v>
      </c>
      <c r="AV161" s="50">
        <f t="shared" si="23"/>
        <v>1</v>
      </c>
      <c r="AW161" s="51">
        <f t="shared" si="24"/>
        <v>0.001988873443</v>
      </c>
      <c r="AX161" s="52">
        <f t="shared" si="25"/>
        <v>0</v>
      </c>
      <c r="AY161" s="5"/>
      <c r="AZ161" s="53">
        <f t="shared" si="26"/>
        <v>1</v>
      </c>
      <c r="BA161" s="5"/>
      <c r="BB161" s="5"/>
      <c r="BC161" s="5"/>
    </row>
    <row r="162" ht="12.75" customHeight="1">
      <c r="A162" s="25"/>
      <c r="B162" s="27" t="s">
        <v>302</v>
      </c>
      <c r="C162" s="27"/>
      <c r="D162" s="63">
        <v>48739.69</v>
      </c>
      <c r="E162" s="29" t="s">
        <v>39</v>
      </c>
      <c r="F162" s="30">
        <v>40603.0</v>
      </c>
      <c r="G162" s="31" t="s">
        <v>40</v>
      </c>
      <c r="H162" s="30">
        <v>40767.0</v>
      </c>
      <c r="I162" s="32">
        <f t="shared" si="1"/>
        <v>5.466666667</v>
      </c>
      <c r="J162" s="33" t="s">
        <v>129</v>
      </c>
      <c r="K162" s="34">
        <v>47000.0</v>
      </c>
      <c r="L162" s="35">
        <v>0.0</v>
      </c>
      <c r="M162" s="35">
        <v>0.0</v>
      </c>
      <c r="N162" s="35">
        <v>0.0</v>
      </c>
      <c r="O162" s="35">
        <f t="shared" si="45"/>
        <v>1739.69</v>
      </c>
      <c r="P162" s="35">
        <f t="shared" si="3"/>
        <v>1739.69</v>
      </c>
      <c r="Q162" s="36">
        <f t="shared" si="4"/>
        <v>0.03569349744</v>
      </c>
      <c r="R162" s="36">
        <f t="shared" si="5"/>
        <v>0.9643065026</v>
      </c>
      <c r="S162" s="37"/>
      <c r="T162" s="5"/>
      <c r="U162" s="54"/>
      <c r="V162" s="55"/>
      <c r="W162" s="55"/>
      <c r="X162" s="56"/>
      <c r="Y162" s="55"/>
      <c r="Z162" s="55" t="str">
        <f t="shared" si="43"/>
        <v/>
      </c>
      <c r="AA162" s="57">
        <f t="shared" si="44"/>
        <v>0</v>
      </c>
      <c r="AB162" s="5"/>
      <c r="AC162" s="42">
        <f t="shared" si="6"/>
        <v>0</v>
      </c>
      <c r="AD162" s="3">
        <f t="shared" si="7"/>
        <v>1</v>
      </c>
      <c r="AE162" s="3">
        <f t="shared" si="8"/>
        <v>0</v>
      </c>
      <c r="AF162" s="43">
        <f t="shared" si="9"/>
        <v>0</v>
      </c>
      <c r="AG162" s="44">
        <f t="shared" si="10"/>
        <v>0</v>
      </c>
      <c r="AH162" s="45">
        <f t="shared" si="11"/>
        <v>0</v>
      </c>
      <c r="AI162" s="46">
        <f t="shared" si="12"/>
        <v>0</v>
      </c>
      <c r="AJ162" s="47">
        <f t="shared" si="13"/>
        <v>0</v>
      </c>
      <c r="AK162" s="5"/>
      <c r="AL162" s="42">
        <f t="shared" si="14"/>
        <v>1</v>
      </c>
      <c r="AM162" s="3">
        <f t="shared" si="15"/>
        <v>1</v>
      </c>
      <c r="AN162" s="3">
        <f t="shared" si="16"/>
        <v>1</v>
      </c>
      <c r="AO162" s="3">
        <f t="shared" si="17"/>
        <v>0</v>
      </c>
      <c r="AP162" s="44">
        <f t="shared" si="18"/>
        <v>48739.69</v>
      </c>
      <c r="AQ162" s="48">
        <f t="shared" si="19"/>
        <v>5.466666667</v>
      </c>
      <c r="AR162" s="46">
        <f t="shared" si="20"/>
        <v>0.008549998647</v>
      </c>
      <c r="AS162" s="47">
        <f t="shared" si="21"/>
        <v>0.0003051793548</v>
      </c>
      <c r="AT162" s="5"/>
      <c r="AU162" s="49">
        <f t="shared" si="27"/>
        <v>48739.69</v>
      </c>
      <c r="AV162" s="50">
        <f t="shared" si="23"/>
        <v>1</v>
      </c>
      <c r="AW162" s="51">
        <f t="shared" si="24"/>
        <v>0.004728880019</v>
      </c>
      <c r="AX162" s="52">
        <f t="shared" si="25"/>
        <v>0.0001687902668</v>
      </c>
      <c r="AY162" s="5"/>
      <c r="AZ162" s="53">
        <f t="shared" si="26"/>
        <v>1</v>
      </c>
      <c r="BA162" s="5"/>
      <c r="BB162" s="5"/>
      <c r="BC162" s="5"/>
    </row>
    <row r="163" ht="12.75" customHeight="1">
      <c r="A163" s="25"/>
      <c r="B163" s="27" t="s">
        <v>303</v>
      </c>
      <c r="C163" s="27"/>
      <c r="D163" s="63">
        <v>13375.0</v>
      </c>
      <c r="E163" s="29" t="s">
        <v>39</v>
      </c>
      <c r="F163" s="30">
        <v>40603.0</v>
      </c>
      <c r="G163" s="32" t="s">
        <v>40</v>
      </c>
      <c r="H163" s="30">
        <v>40877.0</v>
      </c>
      <c r="I163" s="32">
        <f t="shared" si="1"/>
        <v>9.133333333</v>
      </c>
      <c r="J163" s="33" t="s">
        <v>66</v>
      </c>
      <c r="K163" s="34">
        <v>14000.0</v>
      </c>
      <c r="L163" s="35">
        <v>0.0</v>
      </c>
      <c r="M163" s="35">
        <v>0.0</v>
      </c>
      <c r="N163" s="35">
        <v>0.0</v>
      </c>
      <c r="O163" s="35">
        <f t="shared" si="45"/>
        <v>0</v>
      </c>
      <c r="P163" s="35">
        <f t="shared" si="3"/>
        <v>0</v>
      </c>
      <c r="Q163" s="36">
        <f t="shared" si="4"/>
        <v>0</v>
      </c>
      <c r="R163" s="36">
        <f t="shared" si="5"/>
        <v>1</v>
      </c>
      <c r="S163" s="37"/>
      <c r="T163" s="5"/>
      <c r="U163" s="54"/>
      <c r="V163" s="55"/>
      <c r="W163" s="55"/>
      <c r="X163" s="56"/>
      <c r="Y163" s="55"/>
      <c r="Z163" s="55" t="str">
        <f t="shared" si="43"/>
        <v/>
      </c>
      <c r="AA163" s="57">
        <f t="shared" si="44"/>
        <v>0</v>
      </c>
      <c r="AB163" s="5"/>
      <c r="AC163" s="42">
        <f t="shared" si="6"/>
        <v>0</v>
      </c>
      <c r="AD163" s="3">
        <f t="shared" si="7"/>
        <v>1</v>
      </c>
      <c r="AE163" s="3">
        <f t="shared" si="8"/>
        <v>0</v>
      </c>
      <c r="AF163" s="43">
        <f t="shared" si="9"/>
        <v>0</v>
      </c>
      <c r="AG163" s="44">
        <f t="shared" si="10"/>
        <v>0</v>
      </c>
      <c r="AH163" s="45">
        <f t="shared" si="11"/>
        <v>0</v>
      </c>
      <c r="AI163" s="46">
        <f t="shared" si="12"/>
        <v>0</v>
      </c>
      <c r="AJ163" s="47">
        <f t="shared" si="13"/>
        <v>0</v>
      </c>
      <c r="AK163" s="5"/>
      <c r="AL163" s="42">
        <f t="shared" si="14"/>
        <v>1</v>
      </c>
      <c r="AM163" s="3">
        <f t="shared" si="15"/>
        <v>1</v>
      </c>
      <c r="AN163" s="3">
        <f t="shared" si="16"/>
        <v>1</v>
      </c>
      <c r="AO163" s="3">
        <f t="shared" si="17"/>
        <v>0</v>
      </c>
      <c r="AP163" s="44">
        <f t="shared" si="18"/>
        <v>13375</v>
      </c>
      <c r="AQ163" s="48">
        <f t="shared" si="19"/>
        <v>9.133333333</v>
      </c>
      <c r="AR163" s="46">
        <f t="shared" si="20"/>
        <v>0.002346265065</v>
      </c>
      <c r="AS163" s="47">
        <f t="shared" si="21"/>
        <v>0</v>
      </c>
      <c r="AT163" s="5"/>
      <c r="AU163" s="49">
        <f t="shared" si="27"/>
        <v>13375</v>
      </c>
      <c r="AV163" s="50">
        <f t="shared" si="23"/>
        <v>1</v>
      </c>
      <c r="AW163" s="51">
        <f t="shared" si="24"/>
        <v>0.001297685116</v>
      </c>
      <c r="AX163" s="52">
        <f t="shared" si="25"/>
        <v>0</v>
      </c>
      <c r="AY163" s="5"/>
      <c r="AZ163" s="53">
        <f t="shared" si="26"/>
        <v>1</v>
      </c>
      <c r="BA163" s="5"/>
      <c r="BB163" s="5"/>
      <c r="BC163" s="5"/>
    </row>
    <row r="164" ht="12.75" customHeight="1">
      <c r="A164" s="25"/>
      <c r="B164" s="27" t="s">
        <v>304</v>
      </c>
      <c r="C164" s="27"/>
      <c r="D164" s="63">
        <v>29278.88</v>
      </c>
      <c r="E164" s="29" t="s">
        <v>39</v>
      </c>
      <c r="F164" s="30">
        <v>40603.0</v>
      </c>
      <c r="G164" s="31" t="s">
        <v>40</v>
      </c>
      <c r="H164" s="30">
        <v>41027.0</v>
      </c>
      <c r="I164" s="32">
        <f t="shared" si="1"/>
        <v>14.13333333</v>
      </c>
      <c r="J164" s="33" t="s">
        <v>305</v>
      </c>
      <c r="K164" s="34">
        <v>29000.0</v>
      </c>
      <c r="L164" s="35">
        <v>2666.94</v>
      </c>
      <c r="M164" s="35">
        <v>0.0</v>
      </c>
      <c r="N164" s="35">
        <v>0.0</v>
      </c>
      <c r="O164" s="35">
        <f t="shared" si="45"/>
        <v>278.88</v>
      </c>
      <c r="P164" s="35">
        <f t="shared" si="3"/>
        <v>2945.82</v>
      </c>
      <c r="Q164" s="36">
        <f t="shared" si="4"/>
        <v>0.1006124551</v>
      </c>
      <c r="R164" s="36">
        <f t="shared" si="5"/>
        <v>0.8993875449</v>
      </c>
      <c r="S164" s="37"/>
      <c r="T164" s="5"/>
      <c r="U164" s="54"/>
      <c r="V164" s="55"/>
      <c r="W164" s="55"/>
      <c r="X164" s="56"/>
      <c r="Y164" s="55"/>
      <c r="Z164" s="55" t="str">
        <f t="shared" si="43"/>
        <v/>
      </c>
      <c r="AA164" s="57">
        <f t="shared" si="44"/>
        <v>0</v>
      </c>
      <c r="AB164" s="5"/>
      <c r="AC164" s="42">
        <f t="shared" si="6"/>
        <v>0</v>
      </c>
      <c r="AD164" s="3">
        <f t="shared" si="7"/>
        <v>1</v>
      </c>
      <c r="AE164" s="3">
        <f t="shared" si="8"/>
        <v>0</v>
      </c>
      <c r="AF164" s="43">
        <f t="shared" si="9"/>
        <v>0</v>
      </c>
      <c r="AG164" s="44">
        <f t="shared" si="10"/>
        <v>0</v>
      </c>
      <c r="AH164" s="45">
        <f t="shared" si="11"/>
        <v>0</v>
      </c>
      <c r="AI164" s="46">
        <f t="shared" si="12"/>
        <v>0</v>
      </c>
      <c r="AJ164" s="47">
        <f t="shared" si="13"/>
        <v>0</v>
      </c>
      <c r="AK164" s="5"/>
      <c r="AL164" s="42">
        <f t="shared" si="14"/>
        <v>1</v>
      </c>
      <c r="AM164" s="3">
        <f t="shared" si="15"/>
        <v>1</v>
      </c>
      <c r="AN164" s="3">
        <f t="shared" si="16"/>
        <v>1</v>
      </c>
      <c r="AO164" s="3">
        <f t="shared" si="17"/>
        <v>0</v>
      </c>
      <c r="AP164" s="44">
        <f t="shared" si="18"/>
        <v>29278.88</v>
      </c>
      <c r="AQ164" s="48">
        <f t="shared" si="19"/>
        <v>14.13333333</v>
      </c>
      <c r="AR164" s="46">
        <f t="shared" si="20"/>
        <v>0.005136150525</v>
      </c>
      <c r="AS164" s="47">
        <f t="shared" si="21"/>
        <v>0.0005167607142</v>
      </c>
      <c r="AT164" s="5"/>
      <c r="AU164" s="49">
        <f t="shared" si="27"/>
        <v>29278.88</v>
      </c>
      <c r="AV164" s="50">
        <f t="shared" si="23"/>
        <v>1</v>
      </c>
      <c r="AW164" s="51">
        <f t="shared" si="24"/>
        <v>0.002840730226</v>
      </c>
      <c r="AX164" s="52">
        <f t="shared" si="25"/>
        <v>0.0002858128424</v>
      </c>
      <c r="AY164" s="5"/>
      <c r="AZ164" s="53">
        <f t="shared" si="26"/>
        <v>1</v>
      </c>
      <c r="BA164" s="5"/>
      <c r="BB164" s="5"/>
      <c r="BC164" s="5"/>
    </row>
    <row r="165" ht="12.75" customHeight="1">
      <c r="A165" s="25"/>
      <c r="B165" s="27" t="s">
        <v>306</v>
      </c>
      <c r="C165" s="27"/>
      <c r="D165" s="63">
        <v>27117.63</v>
      </c>
      <c r="E165" s="29" t="s">
        <v>39</v>
      </c>
      <c r="F165" s="30">
        <v>40603.0</v>
      </c>
      <c r="G165" s="66" t="s">
        <v>40</v>
      </c>
      <c r="H165" s="30">
        <v>41029.0</v>
      </c>
      <c r="I165" s="32">
        <f t="shared" si="1"/>
        <v>14.2</v>
      </c>
      <c r="J165" s="33" t="s">
        <v>307</v>
      </c>
      <c r="K165" s="34">
        <v>34000.0</v>
      </c>
      <c r="L165" s="112">
        <v>1886.49</v>
      </c>
      <c r="M165" s="35">
        <v>0.0</v>
      </c>
      <c r="N165" s="35">
        <v>0.0</v>
      </c>
      <c r="O165" s="35">
        <f t="shared" si="45"/>
        <v>0</v>
      </c>
      <c r="P165" s="35">
        <f t="shared" si="3"/>
        <v>0</v>
      </c>
      <c r="Q165" s="36">
        <f t="shared" si="4"/>
        <v>0</v>
      </c>
      <c r="R165" s="36">
        <f t="shared" si="5"/>
        <v>1</v>
      </c>
      <c r="S165" s="37"/>
      <c r="T165" s="5"/>
      <c r="U165" s="54"/>
      <c r="V165" s="55"/>
      <c r="W165" s="55"/>
      <c r="X165" s="56"/>
      <c r="Y165" s="55"/>
      <c r="Z165" s="55" t="str">
        <f t="shared" si="43"/>
        <v/>
      </c>
      <c r="AA165" s="57">
        <f t="shared" si="44"/>
        <v>0</v>
      </c>
      <c r="AB165" s="5"/>
      <c r="AC165" s="42">
        <f t="shared" si="6"/>
        <v>0</v>
      </c>
      <c r="AD165" s="3">
        <f t="shared" si="7"/>
        <v>1</v>
      </c>
      <c r="AE165" s="3">
        <f t="shared" si="8"/>
        <v>0</v>
      </c>
      <c r="AF165" s="43">
        <f t="shared" si="9"/>
        <v>0</v>
      </c>
      <c r="AG165" s="44">
        <f t="shared" si="10"/>
        <v>0</v>
      </c>
      <c r="AH165" s="45">
        <f t="shared" si="11"/>
        <v>0</v>
      </c>
      <c r="AI165" s="46">
        <f t="shared" si="12"/>
        <v>0</v>
      </c>
      <c r="AJ165" s="47">
        <f t="shared" si="13"/>
        <v>0</v>
      </c>
      <c r="AK165" s="5"/>
      <c r="AL165" s="42">
        <f t="shared" si="14"/>
        <v>1</v>
      </c>
      <c r="AM165" s="3">
        <f t="shared" si="15"/>
        <v>1</v>
      </c>
      <c r="AN165" s="3">
        <f t="shared" si="16"/>
        <v>1</v>
      </c>
      <c r="AO165" s="3">
        <f t="shared" si="17"/>
        <v>0</v>
      </c>
      <c r="AP165" s="44">
        <f t="shared" si="18"/>
        <v>27117.63</v>
      </c>
      <c r="AQ165" s="48">
        <f t="shared" si="19"/>
        <v>14.2</v>
      </c>
      <c r="AR165" s="46">
        <f t="shared" si="20"/>
        <v>0.004757020404</v>
      </c>
      <c r="AS165" s="47">
        <f t="shared" si="21"/>
        <v>0</v>
      </c>
      <c r="AT165" s="5"/>
      <c r="AU165" s="49">
        <f t="shared" si="27"/>
        <v>27117.63</v>
      </c>
      <c r="AV165" s="50">
        <f t="shared" si="23"/>
        <v>1</v>
      </c>
      <c r="AW165" s="51">
        <f t="shared" si="24"/>
        <v>0.002631038865</v>
      </c>
      <c r="AX165" s="52">
        <f t="shared" si="25"/>
        <v>0</v>
      </c>
      <c r="AY165" s="5"/>
      <c r="AZ165" s="53">
        <f t="shared" si="26"/>
        <v>1</v>
      </c>
      <c r="BA165" s="5"/>
      <c r="BB165" s="5"/>
      <c r="BC165" s="5"/>
    </row>
    <row r="166" ht="12.75" customHeight="1">
      <c r="A166" s="25"/>
      <c r="B166" s="27" t="s">
        <v>308</v>
      </c>
      <c r="C166" s="27"/>
      <c r="D166" s="63">
        <v>41172.03</v>
      </c>
      <c r="E166" s="94" t="s">
        <v>39</v>
      </c>
      <c r="F166" s="30">
        <v>40603.0</v>
      </c>
      <c r="G166" s="31" t="s">
        <v>40</v>
      </c>
      <c r="H166" s="30">
        <v>41029.0</v>
      </c>
      <c r="I166" s="32">
        <f t="shared" si="1"/>
        <v>14.2</v>
      </c>
      <c r="J166" s="33" t="s">
        <v>309</v>
      </c>
      <c r="K166" s="34">
        <v>48000.0</v>
      </c>
      <c r="L166" s="35">
        <v>2400.68</v>
      </c>
      <c r="M166" s="35">
        <v>0.0</v>
      </c>
      <c r="N166" s="35">
        <v>0.0</v>
      </c>
      <c r="O166" s="35">
        <f t="shared" si="45"/>
        <v>0</v>
      </c>
      <c r="P166" s="35">
        <f t="shared" si="3"/>
        <v>0</v>
      </c>
      <c r="Q166" s="36">
        <f t="shared" si="4"/>
        <v>0</v>
      </c>
      <c r="R166" s="36">
        <f t="shared" si="5"/>
        <v>1</v>
      </c>
      <c r="S166" s="37"/>
      <c r="T166" s="5"/>
      <c r="U166" s="54"/>
      <c r="V166" s="55"/>
      <c r="W166" s="55"/>
      <c r="X166" s="56"/>
      <c r="Y166" s="55"/>
      <c r="Z166" s="55" t="str">
        <f t="shared" si="43"/>
        <v/>
      </c>
      <c r="AA166" s="57">
        <f t="shared" si="44"/>
        <v>0</v>
      </c>
      <c r="AB166" s="5"/>
      <c r="AC166" s="42">
        <f t="shared" si="6"/>
        <v>0</v>
      </c>
      <c r="AD166" s="3">
        <f t="shared" si="7"/>
        <v>1</v>
      </c>
      <c r="AE166" s="3">
        <f t="shared" si="8"/>
        <v>0</v>
      </c>
      <c r="AF166" s="43">
        <f t="shared" si="9"/>
        <v>0</v>
      </c>
      <c r="AG166" s="44">
        <f t="shared" si="10"/>
        <v>0</v>
      </c>
      <c r="AH166" s="45">
        <f t="shared" si="11"/>
        <v>0</v>
      </c>
      <c r="AI166" s="46">
        <f t="shared" si="12"/>
        <v>0</v>
      </c>
      <c r="AJ166" s="47">
        <f t="shared" si="13"/>
        <v>0</v>
      </c>
      <c r="AK166" s="5"/>
      <c r="AL166" s="42">
        <f t="shared" si="14"/>
        <v>1</v>
      </c>
      <c r="AM166" s="3">
        <f t="shared" si="15"/>
        <v>1</v>
      </c>
      <c r="AN166" s="3">
        <f t="shared" si="16"/>
        <v>1</v>
      </c>
      <c r="AO166" s="3">
        <f t="shared" si="17"/>
        <v>0</v>
      </c>
      <c r="AP166" s="44">
        <f t="shared" si="18"/>
        <v>41172.03</v>
      </c>
      <c r="AQ166" s="48">
        <f t="shared" si="19"/>
        <v>14.2</v>
      </c>
      <c r="AR166" s="46">
        <f t="shared" si="20"/>
        <v>0.007222466963</v>
      </c>
      <c r="AS166" s="47">
        <f t="shared" si="21"/>
        <v>0</v>
      </c>
      <c r="AT166" s="5"/>
      <c r="AU166" s="49">
        <f t="shared" si="27"/>
        <v>41172.03</v>
      </c>
      <c r="AV166" s="50">
        <f t="shared" si="23"/>
        <v>1</v>
      </c>
      <c r="AW166" s="51">
        <f t="shared" si="24"/>
        <v>0.003994641534</v>
      </c>
      <c r="AX166" s="52">
        <f t="shared" si="25"/>
        <v>0</v>
      </c>
      <c r="AY166" s="5"/>
      <c r="AZ166" s="53">
        <f t="shared" si="26"/>
        <v>1</v>
      </c>
      <c r="BA166" s="5"/>
      <c r="BB166" s="5"/>
      <c r="BC166" s="5"/>
    </row>
    <row r="167" ht="12.75" customHeight="1">
      <c r="A167" s="69"/>
      <c r="B167" s="27" t="s">
        <v>310</v>
      </c>
      <c r="C167" s="27"/>
      <c r="D167" s="63">
        <v>14180.19</v>
      </c>
      <c r="E167" s="29" t="s">
        <v>39</v>
      </c>
      <c r="F167" s="30">
        <v>40603.0</v>
      </c>
      <c r="G167" s="32" t="s">
        <v>40</v>
      </c>
      <c r="H167" s="30">
        <v>41381.0</v>
      </c>
      <c r="I167" s="32">
        <f t="shared" si="1"/>
        <v>25.93333333</v>
      </c>
      <c r="J167" s="33" t="s">
        <v>129</v>
      </c>
      <c r="K167" s="34">
        <v>15000.0</v>
      </c>
      <c r="L167" s="112">
        <v>1059.93</v>
      </c>
      <c r="M167" s="35">
        <v>27.78</v>
      </c>
      <c r="N167" s="35">
        <v>0.0</v>
      </c>
      <c r="O167" s="35">
        <f t="shared" si="45"/>
        <v>0</v>
      </c>
      <c r="P167" s="35">
        <f t="shared" si="3"/>
        <v>267.9</v>
      </c>
      <c r="Q167" s="36">
        <f t="shared" si="4"/>
        <v>0.01889255363</v>
      </c>
      <c r="R167" s="36">
        <f t="shared" si="5"/>
        <v>0.9811074464</v>
      </c>
      <c r="S167" s="37"/>
      <c r="T167" s="5"/>
      <c r="U167" s="54">
        <v>430.56</v>
      </c>
      <c r="V167" s="55">
        <v>2561.47</v>
      </c>
      <c r="W167" s="55">
        <f t="shared" ref="W167:W169" si="46">U167+V167</f>
        <v>2992.03</v>
      </c>
      <c r="X167" s="56">
        <v>0.09</v>
      </c>
      <c r="Y167" s="55">
        <f t="shared" ref="Y167:Y169" si="47">((X167*D167)/365)*180</f>
        <v>629.367337</v>
      </c>
      <c r="Z167" s="55">
        <f t="shared" si="43"/>
        <v>629.367337</v>
      </c>
      <c r="AA167" s="57">
        <f t="shared" si="44"/>
        <v>1059.927337</v>
      </c>
      <c r="AB167" s="5"/>
      <c r="AC167" s="42">
        <f t="shared" si="6"/>
        <v>0</v>
      </c>
      <c r="AD167" s="3">
        <f t="shared" si="7"/>
        <v>1</v>
      </c>
      <c r="AE167" s="3">
        <f t="shared" si="8"/>
        <v>0</v>
      </c>
      <c r="AF167" s="43">
        <f t="shared" si="9"/>
        <v>0</v>
      </c>
      <c r="AG167" s="44">
        <f t="shared" si="10"/>
        <v>0</v>
      </c>
      <c r="AH167" s="45">
        <f t="shared" si="11"/>
        <v>0</v>
      </c>
      <c r="AI167" s="46">
        <f t="shared" si="12"/>
        <v>0</v>
      </c>
      <c r="AJ167" s="47">
        <f t="shared" si="13"/>
        <v>0</v>
      </c>
      <c r="AK167" s="5"/>
      <c r="AL167" s="42">
        <f t="shared" si="14"/>
        <v>1</v>
      </c>
      <c r="AM167" s="3">
        <f t="shared" si="15"/>
        <v>1</v>
      </c>
      <c r="AN167" s="3">
        <f t="shared" si="16"/>
        <v>1</v>
      </c>
      <c r="AO167" s="3">
        <f t="shared" si="17"/>
        <v>27.78</v>
      </c>
      <c r="AP167" s="44">
        <f t="shared" si="18"/>
        <v>14180.19</v>
      </c>
      <c r="AQ167" s="48">
        <f t="shared" si="19"/>
        <v>25.93333333</v>
      </c>
      <c r="AR167" s="46">
        <f t="shared" si="20"/>
        <v>0.002487512853</v>
      </c>
      <c r="AS167" s="47">
        <f t="shared" si="21"/>
        <v>0.00004699546997</v>
      </c>
      <c r="AT167" s="5"/>
      <c r="AU167" s="49">
        <f t="shared" si="27"/>
        <v>14180.19</v>
      </c>
      <c r="AV167" s="50">
        <f t="shared" si="23"/>
        <v>1</v>
      </c>
      <c r="AW167" s="51">
        <f t="shared" si="24"/>
        <v>0.001375807215</v>
      </c>
      <c r="AX167" s="52">
        <f t="shared" si="25"/>
        <v>0.00002599251159</v>
      </c>
      <c r="AY167" s="5"/>
      <c r="AZ167" s="53">
        <f t="shared" si="26"/>
        <v>1</v>
      </c>
      <c r="BA167" s="5"/>
      <c r="BB167" s="5"/>
      <c r="BC167" s="5"/>
    </row>
    <row r="168" ht="12.75" customHeight="1">
      <c r="A168" s="25"/>
      <c r="B168" s="27" t="s">
        <v>311</v>
      </c>
      <c r="C168" s="27"/>
      <c r="D168" s="63">
        <v>24744.09</v>
      </c>
      <c r="E168" s="29" t="s">
        <v>39</v>
      </c>
      <c r="F168" s="30">
        <v>40603.0</v>
      </c>
      <c r="G168" s="109" t="s">
        <v>40</v>
      </c>
      <c r="H168" s="30">
        <v>41818.0</v>
      </c>
      <c r="I168" s="32">
        <f t="shared" si="1"/>
        <v>40.5</v>
      </c>
      <c r="J168" s="33" t="s">
        <v>312</v>
      </c>
      <c r="K168" s="34">
        <v>25000.0</v>
      </c>
      <c r="L168" s="112">
        <v>1130.36</v>
      </c>
      <c r="M168" s="35">
        <v>3160.21</v>
      </c>
      <c r="N168" s="35">
        <v>318.75</v>
      </c>
      <c r="O168" s="35">
        <f t="shared" si="45"/>
        <v>0</v>
      </c>
      <c r="P168" s="35">
        <f t="shared" si="3"/>
        <v>4353.41</v>
      </c>
      <c r="Q168" s="36">
        <f t="shared" si="4"/>
        <v>0.1759373652</v>
      </c>
      <c r="R168" s="36">
        <f t="shared" si="5"/>
        <v>0.8240626348</v>
      </c>
      <c r="S168" s="37"/>
      <c r="T168" s="5"/>
      <c r="U168" s="54">
        <v>184.66</v>
      </c>
      <c r="V168" s="55">
        <v>2336.48</v>
      </c>
      <c r="W168" s="55">
        <f t="shared" si="46"/>
        <v>2521.14</v>
      </c>
      <c r="X168" s="56">
        <v>0.0775</v>
      </c>
      <c r="Y168" s="55">
        <f t="shared" si="47"/>
        <v>945.6987822</v>
      </c>
      <c r="Z168" s="55">
        <f t="shared" si="43"/>
        <v>945.6987822</v>
      </c>
      <c r="AA168" s="57">
        <f t="shared" si="44"/>
        <v>1130.358782</v>
      </c>
      <c r="AB168" s="5"/>
      <c r="AC168" s="42">
        <f t="shared" si="6"/>
        <v>0</v>
      </c>
      <c r="AD168" s="3">
        <f t="shared" si="7"/>
        <v>1</v>
      </c>
      <c r="AE168" s="3">
        <f t="shared" si="8"/>
        <v>0</v>
      </c>
      <c r="AF168" s="43">
        <f t="shared" si="9"/>
        <v>0</v>
      </c>
      <c r="AG168" s="44">
        <f t="shared" si="10"/>
        <v>0</v>
      </c>
      <c r="AH168" s="45">
        <f t="shared" si="11"/>
        <v>0</v>
      </c>
      <c r="AI168" s="46">
        <f t="shared" si="12"/>
        <v>0</v>
      </c>
      <c r="AJ168" s="47">
        <f t="shared" si="13"/>
        <v>0</v>
      </c>
      <c r="AK168" s="5"/>
      <c r="AL168" s="42">
        <f t="shared" si="14"/>
        <v>1</v>
      </c>
      <c r="AM168" s="3">
        <f t="shared" si="15"/>
        <v>1</v>
      </c>
      <c r="AN168" s="3">
        <f t="shared" si="16"/>
        <v>1</v>
      </c>
      <c r="AO168" s="3">
        <f t="shared" si="17"/>
        <v>3478.96</v>
      </c>
      <c r="AP168" s="44">
        <f t="shared" si="18"/>
        <v>24744.09</v>
      </c>
      <c r="AQ168" s="48">
        <f t="shared" si="19"/>
        <v>40.5</v>
      </c>
      <c r="AR168" s="46">
        <f t="shared" si="20"/>
        <v>0.004340650013</v>
      </c>
      <c r="AS168" s="47">
        <f t="shared" si="21"/>
        <v>0.0007636825267</v>
      </c>
      <c r="AT168" s="5"/>
      <c r="AU168" s="49">
        <f t="shared" si="27"/>
        <v>24744.09</v>
      </c>
      <c r="AV168" s="50">
        <f t="shared" si="23"/>
        <v>1</v>
      </c>
      <c r="AW168" s="51">
        <f t="shared" si="24"/>
        <v>0.002400750452</v>
      </c>
      <c r="AX168" s="52">
        <f t="shared" si="25"/>
        <v>0.0004223817091</v>
      </c>
      <c r="AY168" s="5"/>
      <c r="AZ168" s="53">
        <f t="shared" si="26"/>
        <v>1</v>
      </c>
      <c r="BA168" s="5"/>
      <c r="BB168" s="5"/>
      <c r="BC168" s="5"/>
    </row>
    <row r="169" ht="12.75" customHeight="1">
      <c r="A169" s="25"/>
      <c r="B169" s="27" t="s">
        <v>313</v>
      </c>
      <c r="C169" s="113">
        <v>16929.0</v>
      </c>
      <c r="D169" s="63">
        <v>15058.9</v>
      </c>
      <c r="E169" s="29" t="s">
        <v>49</v>
      </c>
      <c r="F169" s="30">
        <v>40603.0</v>
      </c>
      <c r="G169" s="31" t="s">
        <v>40</v>
      </c>
      <c r="H169" s="30">
        <v>42856.0</v>
      </c>
      <c r="I169" s="32">
        <f t="shared" si="1"/>
        <v>75.1</v>
      </c>
      <c r="J169" s="33" t="s">
        <v>129</v>
      </c>
      <c r="K169" s="34">
        <v>12000.0</v>
      </c>
      <c r="L169" s="112">
        <v>3061.08</v>
      </c>
      <c r="M169" s="35">
        <v>5494.15</v>
      </c>
      <c r="N169" s="35">
        <v>39.61</v>
      </c>
      <c r="O169" s="35">
        <f t="shared" si="45"/>
        <v>3058.9</v>
      </c>
      <c r="P169" s="35">
        <f t="shared" si="3"/>
        <v>11653.74</v>
      </c>
      <c r="Q169" s="36">
        <f t="shared" si="4"/>
        <v>0.773877242</v>
      </c>
      <c r="R169" s="36">
        <f t="shared" si="5"/>
        <v>0.226122758</v>
      </c>
      <c r="S169" s="37"/>
      <c r="T169" s="5"/>
      <c r="U169" s="54">
        <v>2485.54</v>
      </c>
      <c r="V169" s="55">
        <v>5839.69</v>
      </c>
      <c r="W169" s="55">
        <f t="shared" si="46"/>
        <v>8325.23</v>
      </c>
      <c r="X169" s="56">
        <v>0.0775</v>
      </c>
      <c r="Y169" s="55">
        <f t="shared" si="47"/>
        <v>575.5387808</v>
      </c>
      <c r="Z169" s="55">
        <f t="shared" si="43"/>
        <v>575.5387808</v>
      </c>
      <c r="AA169" s="57">
        <f t="shared" si="44"/>
        <v>3061.078781</v>
      </c>
      <c r="AB169" s="5"/>
      <c r="AC169" s="42">
        <f t="shared" si="6"/>
        <v>1</v>
      </c>
      <c r="AD169" s="3">
        <f t="shared" si="7"/>
        <v>1</v>
      </c>
      <c r="AE169" s="3">
        <f t="shared" si="8"/>
        <v>1</v>
      </c>
      <c r="AF169" s="43">
        <f t="shared" si="9"/>
        <v>5533.76</v>
      </c>
      <c r="AG169" s="44">
        <f t="shared" si="10"/>
        <v>15058.9</v>
      </c>
      <c r="AH169" s="45">
        <f t="shared" si="11"/>
        <v>75.1</v>
      </c>
      <c r="AI169" s="46">
        <f t="shared" si="12"/>
        <v>0.003258791945</v>
      </c>
      <c r="AJ169" s="47">
        <f t="shared" si="13"/>
        <v>0.002521904923</v>
      </c>
      <c r="AK169" s="5"/>
      <c r="AL169" s="42">
        <f t="shared" si="14"/>
        <v>0</v>
      </c>
      <c r="AM169" s="3">
        <f t="shared" si="15"/>
        <v>1</v>
      </c>
      <c r="AN169" s="3">
        <f t="shared" si="16"/>
        <v>0</v>
      </c>
      <c r="AO169" s="3">
        <f t="shared" si="17"/>
        <v>0</v>
      </c>
      <c r="AP169" s="44">
        <f t="shared" si="18"/>
        <v>0</v>
      </c>
      <c r="AQ169" s="48">
        <f t="shared" si="19"/>
        <v>0</v>
      </c>
      <c r="AR169" s="46">
        <f t="shared" si="20"/>
        <v>0</v>
      </c>
      <c r="AS169" s="47">
        <f t="shared" si="21"/>
        <v>0</v>
      </c>
      <c r="AT169" s="5"/>
      <c r="AU169" s="49">
        <f t="shared" si="27"/>
        <v>15058.9</v>
      </c>
      <c r="AV169" s="50">
        <f t="shared" si="23"/>
        <v>1</v>
      </c>
      <c r="AW169" s="51">
        <f t="shared" si="24"/>
        <v>0.001461062459</v>
      </c>
      <c r="AX169" s="52">
        <f t="shared" si="25"/>
        <v>0.001130682986</v>
      </c>
      <c r="AY169" s="5"/>
      <c r="AZ169" s="53">
        <f t="shared" si="26"/>
        <v>1</v>
      </c>
      <c r="BA169" s="5"/>
      <c r="BB169" s="5"/>
      <c r="BC169" s="5"/>
    </row>
    <row r="170" ht="12.75" customHeight="1">
      <c r="A170" s="25"/>
      <c r="B170" s="27" t="s">
        <v>314</v>
      </c>
      <c r="C170" s="27"/>
      <c r="D170" s="63">
        <v>11408.7</v>
      </c>
      <c r="E170" s="29" t="s">
        <v>49</v>
      </c>
      <c r="F170" s="30">
        <v>40603.0</v>
      </c>
      <c r="G170" s="31" t="s">
        <v>40</v>
      </c>
      <c r="H170" s="30" t="s">
        <v>129</v>
      </c>
      <c r="I170" s="32" t="str">
        <f t="shared" si="1"/>
        <v>N/A</v>
      </c>
      <c r="J170" s="33" t="s">
        <v>129</v>
      </c>
      <c r="K170" s="106" t="s">
        <v>129</v>
      </c>
      <c r="L170" s="35"/>
      <c r="M170" s="35">
        <v>5342.82</v>
      </c>
      <c r="N170" s="35">
        <v>971.66</v>
      </c>
      <c r="O170" s="35">
        <f t="shared" si="45"/>
        <v>0</v>
      </c>
      <c r="P170" s="35">
        <f t="shared" si="3"/>
        <v>0</v>
      </c>
      <c r="Q170" s="36" t="str">
        <f t="shared" si="4"/>
        <v>N/A</v>
      </c>
      <c r="R170" s="36" t="str">
        <f t="shared" si="5"/>
        <v>N/A</v>
      </c>
      <c r="S170" s="37"/>
      <c r="T170" s="5"/>
      <c r="U170" s="54"/>
      <c r="V170" s="55"/>
      <c r="W170" s="55"/>
      <c r="X170" s="56">
        <v>0.0775</v>
      </c>
      <c r="Y170" s="55"/>
      <c r="Z170" s="55" t="str">
        <f t="shared" si="43"/>
        <v/>
      </c>
      <c r="AA170" s="57">
        <f t="shared" si="44"/>
        <v>0</v>
      </c>
      <c r="AB170" s="5"/>
      <c r="AC170" s="42">
        <f t="shared" si="6"/>
        <v>1</v>
      </c>
      <c r="AD170" s="3">
        <f t="shared" si="7"/>
        <v>0</v>
      </c>
      <c r="AE170" s="3">
        <f t="shared" si="8"/>
        <v>0</v>
      </c>
      <c r="AF170" s="43">
        <f t="shared" si="9"/>
        <v>0</v>
      </c>
      <c r="AG170" s="44">
        <f t="shared" si="10"/>
        <v>0</v>
      </c>
      <c r="AH170" s="45">
        <f t="shared" si="11"/>
        <v>0</v>
      </c>
      <c r="AI170" s="46">
        <f t="shared" si="12"/>
        <v>0</v>
      </c>
      <c r="AJ170" s="47">
        <f t="shared" si="13"/>
        <v>0</v>
      </c>
      <c r="AK170" s="5"/>
      <c r="AL170" s="42">
        <f t="shared" si="14"/>
        <v>0</v>
      </c>
      <c r="AM170" s="3">
        <f t="shared" si="15"/>
        <v>0</v>
      </c>
      <c r="AN170" s="3">
        <f t="shared" si="16"/>
        <v>0</v>
      </c>
      <c r="AO170" s="3">
        <f t="shared" si="17"/>
        <v>0</v>
      </c>
      <c r="AP170" s="44">
        <f t="shared" si="18"/>
        <v>0</v>
      </c>
      <c r="AQ170" s="48">
        <f t="shared" si="19"/>
        <v>0</v>
      </c>
      <c r="AR170" s="46">
        <f t="shared" si="20"/>
        <v>0</v>
      </c>
      <c r="AS170" s="47">
        <f t="shared" si="21"/>
        <v>0</v>
      </c>
      <c r="AT170" s="5"/>
      <c r="AU170" s="49">
        <f t="shared" si="27"/>
        <v>0</v>
      </c>
      <c r="AV170" s="50">
        <f t="shared" si="23"/>
        <v>0</v>
      </c>
      <c r="AW170" s="51">
        <f t="shared" si="24"/>
        <v>0</v>
      </c>
      <c r="AX170" s="52">
        <f t="shared" si="25"/>
        <v>0</v>
      </c>
      <c r="AY170" s="5"/>
      <c r="AZ170" s="53">
        <f t="shared" si="26"/>
        <v>1</v>
      </c>
      <c r="BA170" s="5"/>
      <c r="BB170" s="5"/>
      <c r="BC170" s="5"/>
    </row>
    <row r="171" ht="12.75" customHeight="1">
      <c r="A171" s="25"/>
      <c r="B171" s="27" t="s">
        <v>315</v>
      </c>
      <c r="C171" s="27"/>
      <c r="D171" s="63">
        <v>21750.02</v>
      </c>
      <c r="E171" s="29" t="s">
        <v>39</v>
      </c>
      <c r="F171" s="30">
        <v>40613.0</v>
      </c>
      <c r="G171" s="31" t="s">
        <v>40</v>
      </c>
      <c r="H171" s="30">
        <v>40707.0</v>
      </c>
      <c r="I171" s="32">
        <f t="shared" si="1"/>
        <v>3.133333333</v>
      </c>
      <c r="J171" s="33" t="s">
        <v>316</v>
      </c>
      <c r="K171" s="34">
        <v>22000.0</v>
      </c>
      <c r="L171" s="35">
        <v>2034.8999999999999</v>
      </c>
      <c r="M171" s="35">
        <v>313.76</v>
      </c>
      <c r="N171" s="35">
        <v>260.62</v>
      </c>
      <c r="O171" s="35">
        <f t="shared" si="45"/>
        <v>0</v>
      </c>
      <c r="P171" s="35">
        <f t="shared" si="3"/>
        <v>2359.3</v>
      </c>
      <c r="Q171" s="36">
        <f t="shared" si="4"/>
        <v>0.1084734635</v>
      </c>
      <c r="R171" s="36">
        <f t="shared" si="5"/>
        <v>0.8915265365</v>
      </c>
      <c r="S171" s="37"/>
      <c r="T171" s="5"/>
      <c r="U171" s="54"/>
      <c r="V171" s="55"/>
      <c r="W171" s="55"/>
      <c r="X171" s="56"/>
      <c r="Y171" s="55"/>
      <c r="Z171" s="55" t="str">
        <f t="shared" si="43"/>
        <v/>
      </c>
      <c r="AA171" s="57">
        <f t="shared" si="44"/>
        <v>0</v>
      </c>
      <c r="AB171" s="5"/>
      <c r="AC171" s="42">
        <f t="shared" si="6"/>
        <v>0</v>
      </c>
      <c r="AD171" s="3">
        <f t="shared" si="7"/>
        <v>1</v>
      </c>
      <c r="AE171" s="3">
        <f t="shared" si="8"/>
        <v>0</v>
      </c>
      <c r="AF171" s="43">
        <f t="shared" si="9"/>
        <v>0</v>
      </c>
      <c r="AG171" s="44">
        <f t="shared" si="10"/>
        <v>0</v>
      </c>
      <c r="AH171" s="45">
        <f t="shared" si="11"/>
        <v>0</v>
      </c>
      <c r="AI171" s="46">
        <f t="shared" si="12"/>
        <v>0</v>
      </c>
      <c r="AJ171" s="47">
        <f t="shared" si="13"/>
        <v>0</v>
      </c>
      <c r="AK171" s="5"/>
      <c r="AL171" s="42">
        <f t="shared" si="14"/>
        <v>1</v>
      </c>
      <c r="AM171" s="3">
        <f t="shared" si="15"/>
        <v>1</v>
      </c>
      <c r="AN171" s="3">
        <f t="shared" si="16"/>
        <v>1</v>
      </c>
      <c r="AO171" s="3">
        <f t="shared" si="17"/>
        <v>574.38</v>
      </c>
      <c r="AP171" s="44">
        <f t="shared" si="18"/>
        <v>21750.02</v>
      </c>
      <c r="AQ171" s="48">
        <f t="shared" si="19"/>
        <v>3.133333333</v>
      </c>
      <c r="AR171" s="46">
        <f t="shared" si="20"/>
        <v>0.003815425202</v>
      </c>
      <c r="AS171" s="47">
        <f t="shared" si="21"/>
        <v>0.0004138723863</v>
      </c>
      <c r="AT171" s="5"/>
      <c r="AU171" s="49">
        <f t="shared" si="27"/>
        <v>21750.02</v>
      </c>
      <c r="AV171" s="50">
        <f t="shared" si="23"/>
        <v>1</v>
      </c>
      <c r="AW171" s="51">
        <f t="shared" si="24"/>
        <v>0.002110256241</v>
      </c>
      <c r="AX171" s="52">
        <f t="shared" si="25"/>
        <v>0.0002289068032</v>
      </c>
      <c r="AY171" s="5"/>
      <c r="AZ171" s="53">
        <f t="shared" si="26"/>
        <v>1</v>
      </c>
      <c r="BA171" s="5"/>
      <c r="BB171" s="5"/>
      <c r="BC171" s="5"/>
    </row>
    <row r="172" ht="12.75" customHeight="1">
      <c r="A172" s="25"/>
      <c r="B172" s="27" t="s">
        <v>317</v>
      </c>
      <c r="C172" s="27"/>
      <c r="D172" s="63">
        <v>21896.21</v>
      </c>
      <c r="E172" s="29" t="s">
        <v>39</v>
      </c>
      <c r="F172" s="30">
        <v>40613.0</v>
      </c>
      <c r="G172" s="31" t="s">
        <v>40</v>
      </c>
      <c r="H172" s="30">
        <v>40742.0</v>
      </c>
      <c r="I172" s="32">
        <f t="shared" si="1"/>
        <v>4.3</v>
      </c>
      <c r="J172" s="33" t="s">
        <v>318</v>
      </c>
      <c r="K172" s="34">
        <v>21000.0</v>
      </c>
      <c r="L172" s="35">
        <v>1573.6000000000001</v>
      </c>
      <c r="M172" s="35">
        <v>2183.92</v>
      </c>
      <c r="N172" s="35">
        <v>12.3</v>
      </c>
      <c r="O172" s="35">
        <f t="shared" si="45"/>
        <v>896.21</v>
      </c>
      <c r="P172" s="35">
        <f t="shared" si="3"/>
        <v>4666.03</v>
      </c>
      <c r="Q172" s="36">
        <f t="shared" si="4"/>
        <v>0.2130976091</v>
      </c>
      <c r="R172" s="36">
        <f t="shared" si="5"/>
        <v>0.7869023909</v>
      </c>
      <c r="S172" s="37"/>
      <c r="T172" s="5"/>
      <c r="U172" s="54"/>
      <c r="V172" s="55"/>
      <c r="W172" s="55"/>
      <c r="X172" s="56"/>
      <c r="Y172" s="55"/>
      <c r="Z172" s="55" t="str">
        <f t="shared" si="43"/>
        <v/>
      </c>
      <c r="AA172" s="57">
        <f t="shared" si="44"/>
        <v>0</v>
      </c>
      <c r="AB172" s="5"/>
      <c r="AC172" s="42">
        <f t="shared" si="6"/>
        <v>0</v>
      </c>
      <c r="AD172" s="3">
        <f t="shared" si="7"/>
        <v>1</v>
      </c>
      <c r="AE172" s="3">
        <f t="shared" si="8"/>
        <v>0</v>
      </c>
      <c r="AF172" s="43">
        <f t="shared" si="9"/>
        <v>0</v>
      </c>
      <c r="AG172" s="44">
        <f t="shared" si="10"/>
        <v>0</v>
      </c>
      <c r="AH172" s="45">
        <f t="shared" si="11"/>
        <v>0</v>
      </c>
      <c r="AI172" s="46">
        <f t="shared" si="12"/>
        <v>0</v>
      </c>
      <c r="AJ172" s="47">
        <f t="shared" si="13"/>
        <v>0</v>
      </c>
      <c r="AK172" s="5"/>
      <c r="AL172" s="42">
        <f t="shared" si="14"/>
        <v>1</v>
      </c>
      <c r="AM172" s="3">
        <f t="shared" si="15"/>
        <v>1</v>
      </c>
      <c r="AN172" s="3">
        <f t="shared" si="16"/>
        <v>1</v>
      </c>
      <c r="AO172" s="3">
        <f t="shared" si="17"/>
        <v>2196.22</v>
      </c>
      <c r="AP172" s="44">
        <f t="shared" si="18"/>
        <v>21896.21</v>
      </c>
      <c r="AQ172" s="48">
        <f t="shared" si="19"/>
        <v>4.3</v>
      </c>
      <c r="AR172" s="46">
        <f t="shared" si="20"/>
        <v>0.003841070099</v>
      </c>
      <c r="AS172" s="47">
        <f t="shared" si="21"/>
        <v>0.0008185228545</v>
      </c>
      <c r="AT172" s="5"/>
      <c r="AU172" s="49">
        <f t="shared" si="27"/>
        <v>21896.21</v>
      </c>
      <c r="AV172" s="50">
        <f t="shared" si="23"/>
        <v>1</v>
      </c>
      <c r="AW172" s="51">
        <f t="shared" si="24"/>
        <v>0.00212444006</v>
      </c>
      <c r="AX172" s="52">
        <f t="shared" si="25"/>
        <v>0.0004527130976</v>
      </c>
      <c r="AY172" s="5"/>
      <c r="AZ172" s="53">
        <f t="shared" si="26"/>
        <v>1</v>
      </c>
      <c r="BA172" s="5"/>
      <c r="BB172" s="5"/>
      <c r="BC172" s="5"/>
    </row>
    <row r="173" ht="12.75" customHeight="1">
      <c r="A173" s="69"/>
      <c r="B173" s="27" t="s">
        <v>319</v>
      </c>
      <c r="C173" s="27"/>
      <c r="D173" s="63">
        <v>27200.0</v>
      </c>
      <c r="E173" s="29" t="s">
        <v>39</v>
      </c>
      <c r="F173" s="30">
        <v>40613.0</v>
      </c>
      <c r="G173" s="31" t="s">
        <v>40</v>
      </c>
      <c r="H173" s="30">
        <v>41199.0</v>
      </c>
      <c r="I173" s="32">
        <f t="shared" si="1"/>
        <v>19.53333333</v>
      </c>
      <c r="J173" s="33" t="s">
        <v>320</v>
      </c>
      <c r="K173" s="34">
        <v>25000.0</v>
      </c>
      <c r="L173" s="35">
        <v>1243.7</v>
      </c>
      <c r="M173" s="35">
        <v>5534.64</v>
      </c>
      <c r="N173" s="35">
        <v>844.5799999999999</v>
      </c>
      <c r="O173" s="35">
        <f t="shared" si="45"/>
        <v>2200</v>
      </c>
      <c r="P173" s="35">
        <f t="shared" si="3"/>
        <v>9822.92</v>
      </c>
      <c r="Q173" s="36">
        <f t="shared" si="4"/>
        <v>0.3611367647</v>
      </c>
      <c r="R173" s="36">
        <f t="shared" si="5"/>
        <v>0.6388632353</v>
      </c>
      <c r="S173" s="37"/>
      <c r="T173" s="5"/>
      <c r="U173" s="54"/>
      <c r="V173" s="55"/>
      <c r="W173" s="55"/>
      <c r="X173" s="56"/>
      <c r="Y173" s="55"/>
      <c r="Z173" s="55" t="str">
        <f t="shared" si="43"/>
        <v/>
      </c>
      <c r="AA173" s="57">
        <f t="shared" si="44"/>
        <v>0</v>
      </c>
      <c r="AB173" s="5"/>
      <c r="AC173" s="42">
        <f t="shared" si="6"/>
        <v>0</v>
      </c>
      <c r="AD173" s="3">
        <f t="shared" si="7"/>
        <v>1</v>
      </c>
      <c r="AE173" s="3">
        <f t="shared" si="8"/>
        <v>0</v>
      </c>
      <c r="AF173" s="43">
        <f t="shared" si="9"/>
        <v>0</v>
      </c>
      <c r="AG173" s="44">
        <f t="shared" si="10"/>
        <v>0</v>
      </c>
      <c r="AH173" s="45">
        <f t="shared" si="11"/>
        <v>0</v>
      </c>
      <c r="AI173" s="46">
        <f t="shared" si="12"/>
        <v>0</v>
      </c>
      <c r="AJ173" s="47">
        <f t="shared" si="13"/>
        <v>0</v>
      </c>
      <c r="AK173" s="5"/>
      <c r="AL173" s="42">
        <f t="shared" si="14"/>
        <v>1</v>
      </c>
      <c r="AM173" s="3">
        <f t="shared" si="15"/>
        <v>1</v>
      </c>
      <c r="AN173" s="3">
        <f t="shared" si="16"/>
        <v>1</v>
      </c>
      <c r="AO173" s="3">
        <f t="shared" si="17"/>
        <v>6379.22</v>
      </c>
      <c r="AP173" s="44">
        <f t="shared" si="18"/>
        <v>27200</v>
      </c>
      <c r="AQ173" s="48">
        <f t="shared" si="19"/>
        <v>19.53333333</v>
      </c>
      <c r="AR173" s="46">
        <f t="shared" si="20"/>
        <v>0.004771469888</v>
      </c>
      <c r="AS173" s="47">
        <f t="shared" si="21"/>
        <v>0.001723153198</v>
      </c>
      <c r="AT173" s="5"/>
      <c r="AU173" s="49">
        <f t="shared" si="27"/>
        <v>27200</v>
      </c>
      <c r="AV173" s="50">
        <f t="shared" si="23"/>
        <v>1</v>
      </c>
      <c r="AW173" s="51">
        <f t="shared" si="24"/>
        <v>0.002639030665</v>
      </c>
      <c r="AX173" s="52">
        <f t="shared" si="25"/>
        <v>0.0009530509964</v>
      </c>
      <c r="AY173" s="5"/>
      <c r="AZ173" s="53">
        <f t="shared" si="26"/>
        <v>1</v>
      </c>
      <c r="BA173" s="5"/>
      <c r="BB173" s="5"/>
      <c r="BC173" s="5"/>
    </row>
    <row r="174" ht="12.75" customHeight="1">
      <c r="A174" s="25"/>
      <c r="B174" s="27" t="s">
        <v>321</v>
      </c>
      <c r="C174" s="27"/>
      <c r="D174" s="63">
        <v>14103.17</v>
      </c>
      <c r="E174" s="29" t="s">
        <v>39</v>
      </c>
      <c r="F174" s="30">
        <v>40613.0</v>
      </c>
      <c r="G174" s="31" t="s">
        <v>40</v>
      </c>
      <c r="H174" s="30">
        <v>41305.0</v>
      </c>
      <c r="I174" s="32">
        <f t="shared" si="1"/>
        <v>23.06666667</v>
      </c>
      <c r="J174" s="33" t="s">
        <v>322</v>
      </c>
      <c r="K174" s="34">
        <v>11500.0</v>
      </c>
      <c r="L174" s="35">
        <v>406.09</v>
      </c>
      <c r="M174" s="35">
        <v>114.04</v>
      </c>
      <c r="N174" s="35">
        <v>0.0</v>
      </c>
      <c r="O174" s="35">
        <f t="shared" si="45"/>
        <v>2603.17</v>
      </c>
      <c r="P174" s="35">
        <f t="shared" si="3"/>
        <v>3123.3</v>
      </c>
      <c r="Q174" s="36">
        <f t="shared" si="4"/>
        <v>0.2214608489</v>
      </c>
      <c r="R174" s="36">
        <f t="shared" si="5"/>
        <v>0.7785391511</v>
      </c>
      <c r="S174" s="37"/>
      <c r="T174" s="5"/>
      <c r="U174" s="54">
        <v>25.46</v>
      </c>
      <c r="V174" s="55">
        <v>355.17</v>
      </c>
      <c r="W174" s="55">
        <f t="shared" ref="W174:W175" si="48">U174+V174</f>
        <v>380.63</v>
      </c>
      <c r="X174" s="56">
        <v>0.0775</v>
      </c>
      <c r="Y174" s="55">
        <f t="shared" ref="Y174:Y175" si="49">((X174*D174)/365)*180</f>
        <v>539.0115658</v>
      </c>
      <c r="Z174" s="55">
        <f t="shared" si="43"/>
        <v>380.63</v>
      </c>
      <c r="AA174" s="57">
        <f t="shared" si="44"/>
        <v>406.09</v>
      </c>
      <c r="AB174" s="5"/>
      <c r="AC174" s="42">
        <f t="shared" si="6"/>
        <v>0</v>
      </c>
      <c r="AD174" s="3">
        <f t="shared" si="7"/>
        <v>1</v>
      </c>
      <c r="AE174" s="3">
        <f t="shared" si="8"/>
        <v>0</v>
      </c>
      <c r="AF174" s="43">
        <f t="shared" si="9"/>
        <v>0</v>
      </c>
      <c r="AG174" s="44">
        <f t="shared" si="10"/>
        <v>0</v>
      </c>
      <c r="AH174" s="45">
        <f t="shared" si="11"/>
        <v>0</v>
      </c>
      <c r="AI174" s="46">
        <f t="shared" si="12"/>
        <v>0</v>
      </c>
      <c r="AJ174" s="47">
        <f t="shared" si="13"/>
        <v>0</v>
      </c>
      <c r="AK174" s="5"/>
      <c r="AL174" s="42">
        <f t="shared" si="14"/>
        <v>1</v>
      </c>
      <c r="AM174" s="3">
        <f t="shared" si="15"/>
        <v>1</v>
      </c>
      <c r="AN174" s="3">
        <f t="shared" si="16"/>
        <v>1</v>
      </c>
      <c r="AO174" s="3">
        <f t="shared" si="17"/>
        <v>114.04</v>
      </c>
      <c r="AP174" s="44">
        <f t="shared" si="18"/>
        <v>14103.17</v>
      </c>
      <c r="AQ174" s="48">
        <f t="shared" si="19"/>
        <v>23.06666667</v>
      </c>
      <c r="AR174" s="46">
        <f t="shared" si="20"/>
        <v>0.002474001874</v>
      </c>
      <c r="AS174" s="47">
        <f t="shared" si="21"/>
        <v>0.0005478945552</v>
      </c>
      <c r="AT174" s="5"/>
      <c r="AU174" s="49">
        <f t="shared" si="27"/>
        <v>14103.17</v>
      </c>
      <c r="AV174" s="50">
        <f t="shared" si="23"/>
        <v>1</v>
      </c>
      <c r="AW174" s="51">
        <f t="shared" si="24"/>
        <v>0.001368334489</v>
      </c>
      <c r="AX174" s="52">
        <f t="shared" si="25"/>
        <v>0.0003030325175</v>
      </c>
      <c r="AY174" s="5"/>
      <c r="AZ174" s="53">
        <f t="shared" si="26"/>
        <v>1</v>
      </c>
      <c r="BA174" s="5"/>
      <c r="BB174" s="5"/>
      <c r="BC174" s="5"/>
    </row>
    <row r="175" ht="12.75" customHeight="1">
      <c r="A175" s="25"/>
      <c r="B175" s="27" t="s">
        <v>174</v>
      </c>
      <c r="C175" s="27"/>
      <c r="D175" s="63">
        <v>78339.7</v>
      </c>
      <c r="E175" s="29" t="s">
        <v>39</v>
      </c>
      <c r="F175" s="30">
        <v>40644.0</v>
      </c>
      <c r="G175" s="32" t="s">
        <v>40</v>
      </c>
      <c r="H175" s="30">
        <v>42277.0</v>
      </c>
      <c r="I175" s="32">
        <f t="shared" si="1"/>
        <v>54.43333333</v>
      </c>
      <c r="J175" s="33" t="s">
        <v>323</v>
      </c>
      <c r="K175" s="34">
        <v>85000.0</v>
      </c>
      <c r="L175" s="112">
        <v>3116.02</v>
      </c>
      <c r="M175" s="35">
        <v>4650.7</v>
      </c>
      <c r="N175" s="35">
        <v>63.56</v>
      </c>
      <c r="O175" s="35"/>
      <c r="P175" s="35">
        <f t="shared" si="3"/>
        <v>1169.98</v>
      </c>
      <c r="Q175" s="36">
        <f t="shared" si="4"/>
        <v>0.01493470105</v>
      </c>
      <c r="R175" s="36">
        <f t="shared" si="5"/>
        <v>0.9850652989</v>
      </c>
      <c r="S175" s="37"/>
      <c r="T175" s="5"/>
      <c r="U175" s="54">
        <v>218.52</v>
      </c>
      <c r="V175" s="55">
        <v>2820.06</v>
      </c>
      <c r="W175" s="55">
        <f t="shared" si="48"/>
        <v>3038.58</v>
      </c>
      <c r="X175" s="56">
        <v>0.075</v>
      </c>
      <c r="Y175" s="55">
        <f t="shared" si="49"/>
        <v>2897.495753</v>
      </c>
      <c r="Z175" s="55">
        <f t="shared" si="43"/>
        <v>2897.495753</v>
      </c>
      <c r="AA175" s="57">
        <f t="shared" si="44"/>
        <v>3116.015753</v>
      </c>
      <c r="AB175" s="5"/>
      <c r="AC175" s="42">
        <f t="shared" si="6"/>
        <v>0</v>
      </c>
      <c r="AD175" s="3">
        <f t="shared" si="7"/>
        <v>1</v>
      </c>
      <c r="AE175" s="3">
        <f t="shared" si="8"/>
        <v>0</v>
      </c>
      <c r="AF175" s="43">
        <f t="shared" si="9"/>
        <v>0</v>
      </c>
      <c r="AG175" s="44">
        <f t="shared" si="10"/>
        <v>0</v>
      </c>
      <c r="AH175" s="45">
        <f t="shared" si="11"/>
        <v>0</v>
      </c>
      <c r="AI175" s="46">
        <f t="shared" si="12"/>
        <v>0</v>
      </c>
      <c r="AJ175" s="47">
        <f t="shared" si="13"/>
        <v>0</v>
      </c>
      <c r="AK175" s="5"/>
      <c r="AL175" s="42">
        <f t="shared" si="14"/>
        <v>1</v>
      </c>
      <c r="AM175" s="3">
        <f t="shared" si="15"/>
        <v>1</v>
      </c>
      <c r="AN175" s="3">
        <f t="shared" si="16"/>
        <v>1</v>
      </c>
      <c r="AO175" s="3">
        <f t="shared" si="17"/>
        <v>4714.26</v>
      </c>
      <c r="AP175" s="44">
        <f t="shared" si="18"/>
        <v>78339.7</v>
      </c>
      <c r="AQ175" s="48">
        <f t="shared" si="19"/>
        <v>54.43333333</v>
      </c>
      <c r="AR175" s="46">
        <f t="shared" si="20"/>
        <v>0.01374248234</v>
      </c>
      <c r="AS175" s="47">
        <f t="shared" si="21"/>
        <v>0.0002052398654</v>
      </c>
      <c r="AT175" s="5"/>
      <c r="AU175" s="49">
        <f t="shared" si="27"/>
        <v>78339.7</v>
      </c>
      <c r="AV175" s="50">
        <f t="shared" si="23"/>
        <v>1</v>
      </c>
      <c r="AW175" s="51">
        <f t="shared" si="24"/>
        <v>0.007600767301</v>
      </c>
      <c r="AX175" s="52">
        <f t="shared" si="25"/>
        <v>0.0001135151874</v>
      </c>
      <c r="AY175" s="5"/>
      <c r="AZ175" s="53">
        <f t="shared" si="26"/>
        <v>1</v>
      </c>
      <c r="BA175" s="5"/>
      <c r="BB175" s="5"/>
      <c r="BC175" s="5"/>
    </row>
    <row r="176" ht="12.75" customHeight="1">
      <c r="A176" s="25"/>
      <c r="B176" s="27" t="s">
        <v>324</v>
      </c>
      <c r="C176" s="27"/>
      <c r="D176" s="63">
        <v>21084.87</v>
      </c>
      <c r="E176" s="29" t="s">
        <v>39</v>
      </c>
      <c r="F176" s="30">
        <v>40664.0</v>
      </c>
      <c r="G176" s="32" t="s">
        <v>40</v>
      </c>
      <c r="H176" s="30">
        <v>40888.0</v>
      </c>
      <c r="I176" s="32">
        <f t="shared" si="1"/>
        <v>7.466666667</v>
      </c>
      <c r="J176" s="33" t="s">
        <v>325</v>
      </c>
      <c r="K176" s="34">
        <v>21000.0</v>
      </c>
      <c r="L176" s="35">
        <v>417.89</v>
      </c>
      <c r="M176" s="35">
        <v>6486.080000000001</v>
      </c>
      <c r="N176" s="35">
        <v>670.05</v>
      </c>
      <c r="O176" s="35">
        <f>IF(K176="N/A",0,IF(K176-D176&gt;0,0,D176-K176))</f>
        <v>84.87</v>
      </c>
      <c r="P176" s="35">
        <f t="shared" si="3"/>
        <v>7658.89</v>
      </c>
      <c r="Q176" s="36">
        <f t="shared" si="4"/>
        <v>0.3632410349</v>
      </c>
      <c r="R176" s="36">
        <f t="shared" si="5"/>
        <v>0.6367589651</v>
      </c>
      <c r="S176" s="37"/>
      <c r="T176" s="5"/>
      <c r="U176" s="54"/>
      <c r="V176" s="55"/>
      <c r="W176" s="55"/>
      <c r="X176" s="56"/>
      <c r="Y176" s="55"/>
      <c r="Z176" s="55" t="str">
        <f t="shared" si="43"/>
        <v/>
      </c>
      <c r="AA176" s="57">
        <f t="shared" si="44"/>
        <v>0</v>
      </c>
      <c r="AB176" s="5"/>
      <c r="AC176" s="42">
        <f t="shared" si="6"/>
        <v>0</v>
      </c>
      <c r="AD176" s="3">
        <f t="shared" si="7"/>
        <v>1</v>
      </c>
      <c r="AE176" s="3">
        <f t="shared" si="8"/>
        <v>0</v>
      </c>
      <c r="AF176" s="43">
        <f t="shared" si="9"/>
        <v>0</v>
      </c>
      <c r="AG176" s="44">
        <f t="shared" si="10"/>
        <v>0</v>
      </c>
      <c r="AH176" s="45">
        <f t="shared" si="11"/>
        <v>0</v>
      </c>
      <c r="AI176" s="46">
        <f t="shared" si="12"/>
        <v>0</v>
      </c>
      <c r="AJ176" s="47">
        <f t="shared" si="13"/>
        <v>0</v>
      </c>
      <c r="AK176" s="5"/>
      <c r="AL176" s="42">
        <f t="shared" si="14"/>
        <v>1</v>
      </c>
      <c r="AM176" s="3">
        <f t="shared" si="15"/>
        <v>1</v>
      </c>
      <c r="AN176" s="3">
        <f t="shared" si="16"/>
        <v>1</v>
      </c>
      <c r="AO176" s="3">
        <f t="shared" si="17"/>
        <v>7156.13</v>
      </c>
      <c r="AP176" s="44">
        <f t="shared" si="18"/>
        <v>21084.87</v>
      </c>
      <c r="AQ176" s="48">
        <f t="shared" si="19"/>
        <v>7.466666667</v>
      </c>
      <c r="AR176" s="46">
        <f t="shared" si="20"/>
        <v>0.003698743467</v>
      </c>
      <c r="AS176" s="47">
        <f t="shared" si="21"/>
        <v>0.001343535405</v>
      </c>
      <c r="AT176" s="5"/>
      <c r="AU176" s="49">
        <f t="shared" si="27"/>
        <v>21084.87</v>
      </c>
      <c r="AV176" s="50">
        <f t="shared" si="23"/>
        <v>1</v>
      </c>
      <c r="AW176" s="51">
        <f t="shared" si="24"/>
        <v>0.002045721268</v>
      </c>
      <c r="AX176" s="52">
        <f t="shared" si="25"/>
        <v>0.0007430899107</v>
      </c>
      <c r="AY176" s="5"/>
      <c r="AZ176" s="53">
        <f t="shared" si="26"/>
        <v>1</v>
      </c>
      <c r="BA176" s="5"/>
      <c r="BB176" s="5"/>
      <c r="BC176" s="5"/>
    </row>
    <row r="177" ht="12.75" customHeight="1">
      <c r="A177" s="25"/>
      <c r="B177" s="27" t="s">
        <v>326</v>
      </c>
      <c r="C177" s="27"/>
      <c r="D177" s="63">
        <v>52619.21</v>
      </c>
      <c r="E177" s="29" t="s">
        <v>49</v>
      </c>
      <c r="F177" s="30">
        <v>40674.0</v>
      </c>
      <c r="G177" s="67" t="s">
        <v>40</v>
      </c>
      <c r="H177" s="30">
        <v>40967.0</v>
      </c>
      <c r="I177" s="32">
        <f t="shared" si="1"/>
        <v>9.766666667</v>
      </c>
      <c r="J177" s="33" t="s">
        <v>327</v>
      </c>
      <c r="K177" s="34">
        <v>53000.0</v>
      </c>
      <c r="L177" s="35">
        <v>2064.83</v>
      </c>
      <c r="M177" s="35">
        <v>2011.92</v>
      </c>
      <c r="N177" s="35">
        <v>288.39</v>
      </c>
      <c r="O177" s="35">
        <v>3199.39</v>
      </c>
      <c r="P177" s="35">
        <f t="shared" si="3"/>
        <v>3984.35</v>
      </c>
      <c r="Q177" s="36">
        <f t="shared" si="4"/>
        <v>0.07572044506</v>
      </c>
      <c r="R177" s="36">
        <f t="shared" si="5"/>
        <v>0.9242795549</v>
      </c>
      <c r="S177" s="37"/>
      <c r="T177" s="5"/>
      <c r="U177" s="54"/>
      <c r="V177" s="55"/>
      <c r="W177" s="55"/>
      <c r="X177" s="56"/>
      <c r="Y177" s="55"/>
      <c r="Z177" s="55" t="str">
        <f t="shared" si="43"/>
        <v/>
      </c>
      <c r="AA177" s="57">
        <f t="shared" si="44"/>
        <v>0</v>
      </c>
      <c r="AB177" s="5"/>
      <c r="AC177" s="42">
        <f t="shared" si="6"/>
        <v>1</v>
      </c>
      <c r="AD177" s="3">
        <f t="shared" si="7"/>
        <v>1</v>
      </c>
      <c r="AE177" s="3">
        <f t="shared" si="8"/>
        <v>1</v>
      </c>
      <c r="AF177" s="43">
        <f t="shared" si="9"/>
        <v>2300.31</v>
      </c>
      <c r="AG177" s="44">
        <f t="shared" si="10"/>
        <v>52619.21</v>
      </c>
      <c r="AH177" s="45">
        <f t="shared" si="11"/>
        <v>9.766666667</v>
      </c>
      <c r="AI177" s="46">
        <f t="shared" si="12"/>
        <v>0.01138695773</v>
      </c>
      <c r="AJ177" s="47">
        <f t="shared" si="13"/>
        <v>0.000862225507</v>
      </c>
      <c r="AK177" s="5"/>
      <c r="AL177" s="42">
        <f t="shared" si="14"/>
        <v>0</v>
      </c>
      <c r="AM177" s="3">
        <f t="shared" si="15"/>
        <v>1</v>
      </c>
      <c r="AN177" s="3">
        <f t="shared" si="16"/>
        <v>0</v>
      </c>
      <c r="AO177" s="3">
        <f t="shared" si="17"/>
        <v>0</v>
      </c>
      <c r="AP177" s="44">
        <f t="shared" si="18"/>
        <v>0</v>
      </c>
      <c r="AQ177" s="48">
        <f t="shared" si="19"/>
        <v>0</v>
      </c>
      <c r="AR177" s="46">
        <f t="shared" si="20"/>
        <v>0</v>
      </c>
      <c r="AS177" s="47">
        <f t="shared" si="21"/>
        <v>0</v>
      </c>
      <c r="AT177" s="5"/>
      <c r="AU177" s="49">
        <f t="shared" si="27"/>
        <v>52619.21</v>
      </c>
      <c r="AV177" s="50">
        <f t="shared" si="23"/>
        <v>1</v>
      </c>
      <c r="AW177" s="51">
        <f t="shared" si="24"/>
        <v>0.00510528341</v>
      </c>
      <c r="AX177" s="52">
        <f t="shared" si="25"/>
        <v>0.000386574332</v>
      </c>
      <c r="AY177" s="5"/>
      <c r="AZ177" s="53">
        <f t="shared" si="26"/>
        <v>1</v>
      </c>
      <c r="BA177" s="5"/>
      <c r="BB177" s="5"/>
      <c r="BC177" s="5"/>
    </row>
    <row r="178" ht="12.75" customHeight="1">
      <c r="A178" s="25"/>
      <c r="B178" s="27" t="s">
        <v>328</v>
      </c>
      <c r="C178" s="27"/>
      <c r="D178" s="63">
        <v>57929.0</v>
      </c>
      <c r="E178" s="29" t="s">
        <v>49</v>
      </c>
      <c r="F178" s="30">
        <v>40695.0</v>
      </c>
      <c r="G178" s="88" t="s">
        <v>40</v>
      </c>
      <c r="H178" s="30">
        <v>41182.0</v>
      </c>
      <c r="I178" s="32">
        <f t="shared" si="1"/>
        <v>16.23333333</v>
      </c>
      <c r="J178" s="33" t="s">
        <v>329</v>
      </c>
      <c r="K178" s="34">
        <v>55000.0</v>
      </c>
      <c r="L178" s="35">
        <v>3879.9</v>
      </c>
      <c r="M178" s="35">
        <v>5398.8099999999995</v>
      </c>
      <c r="N178" s="35">
        <v>37.12</v>
      </c>
      <c r="O178" s="35">
        <v>0.0</v>
      </c>
      <c r="P178" s="35">
        <f t="shared" si="3"/>
        <v>12244.83</v>
      </c>
      <c r="Q178" s="36">
        <f t="shared" si="4"/>
        <v>0.2113765126</v>
      </c>
      <c r="R178" s="36">
        <f t="shared" si="5"/>
        <v>0.7886234874</v>
      </c>
      <c r="S178" s="37"/>
      <c r="T178" s="5"/>
      <c r="U178" s="54"/>
      <c r="V178" s="55"/>
      <c r="W178" s="55"/>
      <c r="X178" s="56"/>
      <c r="Y178" s="55"/>
      <c r="Z178" s="55" t="str">
        <f t="shared" si="43"/>
        <v/>
      </c>
      <c r="AA178" s="57">
        <f t="shared" si="44"/>
        <v>0</v>
      </c>
      <c r="AB178" s="5"/>
      <c r="AC178" s="42">
        <f t="shared" si="6"/>
        <v>1</v>
      </c>
      <c r="AD178" s="3">
        <f t="shared" si="7"/>
        <v>1</v>
      </c>
      <c r="AE178" s="3">
        <f t="shared" si="8"/>
        <v>1</v>
      </c>
      <c r="AF178" s="43">
        <f t="shared" si="9"/>
        <v>5435.93</v>
      </c>
      <c r="AG178" s="44">
        <f t="shared" si="10"/>
        <v>57929</v>
      </c>
      <c r="AH178" s="45">
        <f t="shared" si="11"/>
        <v>16.23333333</v>
      </c>
      <c r="AI178" s="46">
        <f t="shared" si="12"/>
        <v>0.0125360125</v>
      </c>
      <c r="AJ178" s="47">
        <f t="shared" si="13"/>
        <v>0.002649818604</v>
      </c>
      <c r="AK178" s="5"/>
      <c r="AL178" s="42">
        <f t="shared" si="14"/>
        <v>0</v>
      </c>
      <c r="AM178" s="3">
        <f t="shared" si="15"/>
        <v>1</v>
      </c>
      <c r="AN178" s="3">
        <f t="shared" si="16"/>
        <v>0</v>
      </c>
      <c r="AO178" s="3">
        <f t="shared" si="17"/>
        <v>0</v>
      </c>
      <c r="AP178" s="44">
        <f t="shared" si="18"/>
        <v>0</v>
      </c>
      <c r="AQ178" s="48">
        <f t="shared" si="19"/>
        <v>0</v>
      </c>
      <c r="AR178" s="46">
        <f t="shared" si="20"/>
        <v>0</v>
      </c>
      <c r="AS178" s="47">
        <f t="shared" si="21"/>
        <v>0</v>
      </c>
      <c r="AT178" s="5"/>
      <c r="AU178" s="49">
        <f t="shared" si="27"/>
        <v>57929</v>
      </c>
      <c r="AV178" s="50">
        <f t="shared" si="23"/>
        <v>1</v>
      </c>
      <c r="AW178" s="51">
        <f t="shared" si="24"/>
        <v>0.005620456154</v>
      </c>
      <c r="AX178" s="52">
        <f t="shared" si="25"/>
        <v>0.001188032421</v>
      </c>
      <c r="AY178" s="5"/>
      <c r="AZ178" s="53">
        <f t="shared" si="26"/>
        <v>1</v>
      </c>
      <c r="BA178" s="5"/>
      <c r="BB178" s="5"/>
      <c r="BC178" s="5"/>
    </row>
    <row r="179" ht="12.75" customHeight="1">
      <c r="A179" s="25"/>
      <c r="B179" s="27" t="s">
        <v>330</v>
      </c>
      <c r="C179" s="27"/>
      <c r="D179" s="63">
        <v>16749.72</v>
      </c>
      <c r="E179" s="29" t="s">
        <v>49</v>
      </c>
      <c r="F179" s="30">
        <v>40695.0</v>
      </c>
      <c r="G179" s="30" t="s">
        <v>40</v>
      </c>
      <c r="H179" s="30" t="s">
        <v>129</v>
      </c>
      <c r="I179" s="32" t="str">
        <f t="shared" si="1"/>
        <v>N/A</v>
      </c>
      <c r="J179" s="33" t="s">
        <v>129</v>
      </c>
      <c r="K179" s="106" t="s">
        <v>129</v>
      </c>
      <c r="L179" s="35">
        <v>0.0</v>
      </c>
      <c r="M179" s="35">
        <v>4549.8</v>
      </c>
      <c r="N179" s="35">
        <v>212.82000000000002</v>
      </c>
      <c r="O179" s="35">
        <f t="shared" ref="O179:O184" si="50">IF(K179="N/A",0,IF(K179-D179&gt;0,0,D179-K179))</f>
        <v>0</v>
      </c>
      <c r="P179" s="35">
        <f t="shared" si="3"/>
        <v>0</v>
      </c>
      <c r="Q179" s="36" t="str">
        <f t="shared" si="4"/>
        <v>N/A</v>
      </c>
      <c r="R179" s="36" t="str">
        <f t="shared" si="5"/>
        <v>N/A</v>
      </c>
      <c r="S179" s="37"/>
      <c r="T179" s="5"/>
      <c r="U179" s="54"/>
      <c r="V179" s="55"/>
      <c r="W179" s="55"/>
      <c r="X179" s="56">
        <v>0.0854</v>
      </c>
      <c r="Y179" s="55"/>
      <c r="Z179" s="55" t="str">
        <f t="shared" si="43"/>
        <v/>
      </c>
      <c r="AA179" s="57">
        <f t="shared" si="44"/>
        <v>0</v>
      </c>
      <c r="AB179" s="5"/>
      <c r="AC179" s="42">
        <f t="shared" si="6"/>
        <v>1</v>
      </c>
      <c r="AD179" s="3">
        <f t="shared" si="7"/>
        <v>0</v>
      </c>
      <c r="AE179" s="3">
        <f t="shared" si="8"/>
        <v>0</v>
      </c>
      <c r="AF179" s="43">
        <f t="shared" si="9"/>
        <v>0</v>
      </c>
      <c r="AG179" s="44">
        <f t="shared" si="10"/>
        <v>0</v>
      </c>
      <c r="AH179" s="45">
        <f t="shared" si="11"/>
        <v>0</v>
      </c>
      <c r="AI179" s="46">
        <f t="shared" si="12"/>
        <v>0</v>
      </c>
      <c r="AJ179" s="47">
        <f t="shared" si="13"/>
        <v>0</v>
      </c>
      <c r="AK179" s="5"/>
      <c r="AL179" s="42">
        <f t="shared" si="14"/>
        <v>0</v>
      </c>
      <c r="AM179" s="3">
        <f t="shared" si="15"/>
        <v>0</v>
      </c>
      <c r="AN179" s="3">
        <f t="shared" si="16"/>
        <v>0</v>
      </c>
      <c r="AO179" s="3">
        <f t="shared" si="17"/>
        <v>0</v>
      </c>
      <c r="AP179" s="44">
        <f t="shared" si="18"/>
        <v>0</v>
      </c>
      <c r="AQ179" s="48">
        <f t="shared" si="19"/>
        <v>0</v>
      </c>
      <c r="AR179" s="46">
        <f t="shared" si="20"/>
        <v>0</v>
      </c>
      <c r="AS179" s="47">
        <f t="shared" si="21"/>
        <v>0</v>
      </c>
      <c r="AT179" s="5"/>
      <c r="AU179" s="49">
        <f t="shared" si="27"/>
        <v>0</v>
      </c>
      <c r="AV179" s="50">
        <f t="shared" si="23"/>
        <v>0</v>
      </c>
      <c r="AW179" s="51">
        <f t="shared" si="24"/>
        <v>0</v>
      </c>
      <c r="AX179" s="52">
        <f t="shared" si="25"/>
        <v>0</v>
      </c>
      <c r="AY179" s="5"/>
      <c r="AZ179" s="53">
        <f t="shared" si="26"/>
        <v>1</v>
      </c>
      <c r="BA179" s="5"/>
      <c r="BB179" s="5"/>
      <c r="BC179" s="5"/>
    </row>
    <row r="180" ht="12.75" customHeight="1">
      <c r="A180" s="25"/>
      <c r="B180" s="27" t="s">
        <v>331</v>
      </c>
      <c r="C180" s="27"/>
      <c r="D180" s="63">
        <v>13540.48</v>
      </c>
      <c r="E180" s="29" t="s">
        <v>49</v>
      </c>
      <c r="F180" s="30">
        <v>40705.0</v>
      </c>
      <c r="G180" s="31" t="s">
        <v>40</v>
      </c>
      <c r="H180" s="30">
        <v>40749.0</v>
      </c>
      <c r="I180" s="32">
        <f t="shared" si="1"/>
        <v>1.466666667</v>
      </c>
      <c r="J180" s="33" t="s">
        <v>332</v>
      </c>
      <c r="K180" s="34">
        <v>16000.0</v>
      </c>
      <c r="L180" s="35">
        <v>4160.63</v>
      </c>
      <c r="M180" s="35">
        <v>5924.24</v>
      </c>
      <c r="N180" s="35">
        <v>819.9900000000001</v>
      </c>
      <c r="O180" s="35">
        <f t="shared" si="50"/>
        <v>0</v>
      </c>
      <c r="P180" s="35">
        <f t="shared" si="3"/>
        <v>8445.34</v>
      </c>
      <c r="Q180" s="36">
        <f t="shared" si="4"/>
        <v>0.6237105332</v>
      </c>
      <c r="R180" s="36">
        <f t="shared" si="5"/>
        <v>0.3762894668</v>
      </c>
      <c r="S180" s="37"/>
      <c r="T180" s="5"/>
      <c r="U180" s="54"/>
      <c r="V180" s="55"/>
      <c r="W180" s="55"/>
      <c r="X180" s="56"/>
      <c r="Y180" s="55"/>
      <c r="Z180" s="55" t="str">
        <f t="shared" si="43"/>
        <v/>
      </c>
      <c r="AA180" s="57">
        <f t="shared" si="44"/>
        <v>0</v>
      </c>
      <c r="AB180" s="5"/>
      <c r="AC180" s="42">
        <f t="shared" si="6"/>
        <v>1</v>
      </c>
      <c r="AD180" s="3">
        <f t="shared" si="7"/>
        <v>1</v>
      </c>
      <c r="AE180" s="3">
        <f t="shared" si="8"/>
        <v>1</v>
      </c>
      <c r="AF180" s="43">
        <f t="shared" si="9"/>
        <v>6744.23</v>
      </c>
      <c r="AG180" s="44">
        <f t="shared" si="10"/>
        <v>13540.48</v>
      </c>
      <c r="AH180" s="45">
        <f t="shared" si="11"/>
        <v>1.466666667</v>
      </c>
      <c r="AI180" s="46">
        <f t="shared" si="12"/>
        <v>0.002930201221</v>
      </c>
      <c r="AJ180" s="47">
        <f t="shared" si="13"/>
        <v>0.001827597366</v>
      </c>
      <c r="AK180" s="5"/>
      <c r="AL180" s="42">
        <f t="shared" si="14"/>
        <v>0</v>
      </c>
      <c r="AM180" s="3">
        <f t="shared" si="15"/>
        <v>1</v>
      </c>
      <c r="AN180" s="3">
        <f t="shared" si="16"/>
        <v>0</v>
      </c>
      <c r="AO180" s="3">
        <f t="shared" si="17"/>
        <v>0</v>
      </c>
      <c r="AP180" s="44">
        <f t="shared" si="18"/>
        <v>0</v>
      </c>
      <c r="AQ180" s="48">
        <f t="shared" si="19"/>
        <v>0</v>
      </c>
      <c r="AR180" s="46">
        <f t="shared" si="20"/>
        <v>0</v>
      </c>
      <c r="AS180" s="47">
        <f t="shared" si="21"/>
        <v>0</v>
      </c>
      <c r="AT180" s="5"/>
      <c r="AU180" s="49">
        <f t="shared" si="27"/>
        <v>13540.48</v>
      </c>
      <c r="AV180" s="50">
        <f t="shared" si="23"/>
        <v>1</v>
      </c>
      <c r="AW180" s="51">
        <f t="shared" si="24"/>
        <v>0.001313740513</v>
      </c>
      <c r="AX180" s="52">
        <f t="shared" si="25"/>
        <v>0.0008193937955</v>
      </c>
      <c r="AY180" s="5"/>
      <c r="AZ180" s="53">
        <f t="shared" si="26"/>
        <v>1</v>
      </c>
      <c r="BA180" s="5"/>
      <c r="BB180" s="5"/>
      <c r="BC180" s="5"/>
    </row>
    <row r="181" ht="12.75" customHeight="1">
      <c r="A181" s="25"/>
      <c r="B181" s="27" t="s">
        <v>333</v>
      </c>
      <c r="C181" s="27"/>
      <c r="D181" s="63">
        <v>21451.0</v>
      </c>
      <c r="E181" s="29" t="s">
        <v>39</v>
      </c>
      <c r="F181" s="30">
        <v>40705.0</v>
      </c>
      <c r="G181" s="31" t="s">
        <v>40</v>
      </c>
      <c r="H181" s="30">
        <v>40816.0</v>
      </c>
      <c r="I181" s="32">
        <f t="shared" si="1"/>
        <v>3.7</v>
      </c>
      <c r="J181" s="33" t="s">
        <v>49</v>
      </c>
      <c r="K181" s="34">
        <v>22000.0</v>
      </c>
      <c r="L181" s="35">
        <v>850.24</v>
      </c>
      <c r="M181" s="35">
        <v>3700.96</v>
      </c>
      <c r="N181" s="35">
        <v>71.94</v>
      </c>
      <c r="O181" s="35">
        <f t="shared" si="50"/>
        <v>0</v>
      </c>
      <c r="P181" s="35">
        <f t="shared" si="3"/>
        <v>4074.14</v>
      </c>
      <c r="Q181" s="36">
        <f t="shared" si="4"/>
        <v>0.1899277423</v>
      </c>
      <c r="R181" s="36">
        <f t="shared" si="5"/>
        <v>0.8100722577</v>
      </c>
      <c r="S181" s="37"/>
      <c r="T181" s="5"/>
      <c r="U181" s="54"/>
      <c r="V181" s="55"/>
      <c r="W181" s="55"/>
      <c r="X181" s="56"/>
      <c r="Y181" s="55"/>
      <c r="Z181" s="55" t="str">
        <f t="shared" si="43"/>
        <v/>
      </c>
      <c r="AA181" s="57">
        <f t="shared" si="44"/>
        <v>0</v>
      </c>
      <c r="AB181" s="5"/>
      <c r="AC181" s="42">
        <f t="shared" si="6"/>
        <v>0</v>
      </c>
      <c r="AD181" s="3">
        <f t="shared" si="7"/>
        <v>1</v>
      </c>
      <c r="AE181" s="3">
        <f t="shared" si="8"/>
        <v>0</v>
      </c>
      <c r="AF181" s="43">
        <f t="shared" si="9"/>
        <v>0</v>
      </c>
      <c r="AG181" s="44">
        <f t="shared" si="10"/>
        <v>0</v>
      </c>
      <c r="AH181" s="45">
        <f t="shared" si="11"/>
        <v>0</v>
      </c>
      <c r="AI181" s="46">
        <f t="shared" si="12"/>
        <v>0</v>
      </c>
      <c r="AJ181" s="47">
        <f t="shared" si="13"/>
        <v>0</v>
      </c>
      <c r="AK181" s="5"/>
      <c r="AL181" s="42">
        <f t="shared" si="14"/>
        <v>1</v>
      </c>
      <c r="AM181" s="3">
        <f t="shared" si="15"/>
        <v>1</v>
      </c>
      <c r="AN181" s="3">
        <f t="shared" si="16"/>
        <v>1</v>
      </c>
      <c r="AO181" s="3">
        <f t="shared" si="17"/>
        <v>3772.9</v>
      </c>
      <c r="AP181" s="44">
        <f t="shared" si="18"/>
        <v>21451</v>
      </c>
      <c r="AQ181" s="48">
        <f t="shared" si="19"/>
        <v>3.7</v>
      </c>
      <c r="AR181" s="46">
        <f t="shared" si="20"/>
        <v>0.003762970609</v>
      </c>
      <c r="AS181" s="47">
        <f t="shared" si="21"/>
        <v>0.0007146925122</v>
      </c>
      <c r="AT181" s="5"/>
      <c r="AU181" s="49">
        <f t="shared" si="27"/>
        <v>21451</v>
      </c>
      <c r="AV181" s="50">
        <f t="shared" si="23"/>
        <v>1</v>
      </c>
      <c r="AW181" s="51">
        <f t="shared" si="24"/>
        <v>0.002081244368</v>
      </c>
      <c r="AX181" s="52">
        <f t="shared" si="25"/>
        <v>0.0003952860439</v>
      </c>
      <c r="AY181" s="5"/>
      <c r="AZ181" s="53">
        <f t="shared" si="26"/>
        <v>1</v>
      </c>
      <c r="BA181" s="5"/>
      <c r="BB181" s="5"/>
      <c r="BC181" s="5"/>
    </row>
    <row r="182" ht="12.75" customHeight="1">
      <c r="A182" s="25"/>
      <c r="B182" s="27" t="s">
        <v>334</v>
      </c>
      <c r="C182" s="27"/>
      <c r="D182" s="63">
        <v>30779.79</v>
      </c>
      <c r="E182" s="29" t="s">
        <v>39</v>
      </c>
      <c r="F182" s="30">
        <v>40705.0</v>
      </c>
      <c r="G182" s="67" t="s">
        <v>40</v>
      </c>
      <c r="H182" s="30">
        <v>41698.0</v>
      </c>
      <c r="I182" s="32">
        <f t="shared" si="1"/>
        <v>33.1</v>
      </c>
      <c r="J182" s="33" t="s">
        <v>335</v>
      </c>
      <c r="K182" s="34">
        <v>27000.0</v>
      </c>
      <c r="L182" s="112">
        <v>1574.98</v>
      </c>
      <c r="M182" s="35">
        <v>913.4000000000001</v>
      </c>
      <c r="N182" s="35">
        <v>378.44</v>
      </c>
      <c r="O182" s="35">
        <f t="shared" si="50"/>
        <v>3779.79</v>
      </c>
      <c r="P182" s="35">
        <f t="shared" si="3"/>
        <v>6646.61</v>
      </c>
      <c r="Q182" s="36">
        <f t="shared" si="4"/>
        <v>0.2159407195</v>
      </c>
      <c r="R182" s="36">
        <f t="shared" si="5"/>
        <v>0.7840592805</v>
      </c>
      <c r="S182" s="37"/>
      <c r="T182" s="5"/>
      <c r="U182" s="54">
        <v>170.92</v>
      </c>
      <c r="V182" s="55">
        <v>1701.14</v>
      </c>
      <c r="W182" s="55">
        <f>U182+V182</f>
        <v>1872.06</v>
      </c>
      <c r="X182" s="56">
        <v>0.0925</v>
      </c>
      <c r="Y182" s="55">
        <f>((X182*D182)/365)*180</f>
        <v>1404.064393</v>
      </c>
      <c r="Z182" s="55">
        <f t="shared" si="43"/>
        <v>1404.064393</v>
      </c>
      <c r="AA182" s="57">
        <f t="shared" si="44"/>
        <v>1574.984393</v>
      </c>
      <c r="AB182" s="5"/>
      <c r="AC182" s="42">
        <f t="shared" si="6"/>
        <v>0</v>
      </c>
      <c r="AD182" s="3">
        <f t="shared" si="7"/>
        <v>1</v>
      </c>
      <c r="AE182" s="3">
        <f t="shared" si="8"/>
        <v>0</v>
      </c>
      <c r="AF182" s="43">
        <f t="shared" si="9"/>
        <v>0</v>
      </c>
      <c r="AG182" s="44">
        <f t="shared" si="10"/>
        <v>0</v>
      </c>
      <c r="AH182" s="45">
        <f t="shared" si="11"/>
        <v>0</v>
      </c>
      <c r="AI182" s="46">
        <f t="shared" si="12"/>
        <v>0</v>
      </c>
      <c r="AJ182" s="47">
        <f t="shared" si="13"/>
        <v>0</v>
      </c>
      <c r="AK182" s="5"/>
      <c r="AL182" s="42">
        <f t="shared" si="14"/>
        <v>1</v>
      </c>
      <c r="AM182" s="3">
        <f t="shared" si="15"/>
        <v>1</v>
      </c>
      <c r="AN182" s="3">
        <f t="shared" si="16"/>
        <v>1</v>
      </c>
      <c r="AO182" s="3">
        <f t="shared" si="17"/>
        <v>1291.84</v>
      </c>
      <c r="AP182" s="44">
        <f t="shared" si="18"/>
        <v>30779.79</v>
      </c>
      <c r="AQ182" s="48">
        <f t="shared" si="19"/>
        <v>33.1</v>
      </c>
      <c r="AR182" s="46">
        <f t="shared" si="20"/>
        <v>0.00539944269</v>
      </c>
      <c r="AS182" s="47">
        <f t="shared" si="21"/>
        <v>0.00116595954</v>
      </c>
      <c r="AT182" s="5"/>
      <c r="AU182" s="49">
        <f t="shared" si="27"/>
        <v>30779.79</v>
      </c>
      <c r="AV182" s="50">
        <f t="shared" si="23"/>
        <v>1</v>
      </c>
      <c r="AW182" s="51">
        <f t="shared" si="24"/>
        <v>0.002986353297</v>
      </c>
      <c r="AX182" s="52">
        <f t="shared" si="25"/>
        <v>0.0006448752797</v>
      </c>
      <c r="AY182" s="5"/>
      <c r="AZ182" s="53">
        <f t="shared" si="26"/>
        <v>1</v>
      </c>
      <c r="BA182" s="5"/>
      <c r="BB182" s="5"/>
      <c r="BC182" s="5"/>
    </row>
    <row r="183" ht="12.75" customHeight="1">
      <c r="A183" s="25"/>
      <c r="B183" s="27" t="s">
        <v>336</v>
      </c>
      <c r="C183" s="27"/>
      <c r="D183" s="63">
        <v>16090.88</v>
      </c>
      <c r="E183" s="29" t="s">
        <v>39</v>
      </c>
      <c r="F183" s="30">
        <v>40735.0</v>
      </c>
      <c r="G183" s="32" t="s">
        <v>40</v>
      </c>
      <c r="H183" s="30">
        <v>40816.0</v>
      </c>
      <c r="I183" s="32">
        <f t="shared" si="1"/>
        <v>2.7</v>
      </c>
      <c r="J183" s="33" t="s">
        <v>129</v>
      </c>
      <c r="K183" s="34" t="s">
        <v>129</v>
      </c>
      <c r="L183" s="35">
        <v>2384.73</v>
      </c>
      <c r="M183" s="35">
        <v>2769.07</v>
      </c>
      <c r="N183" s="35">
        <v>373.13</v>
      </c>
      <c r="O183" s="35">
        <f t="shared" si="50"/>
        <v>0</v>
      </c>
      <c r="P183" s="35">
        <f t="shared" si="3"/>
        <v>0</v>
      </c>
      <c r="Q183" s="36">
        <f t="shared" si="4"/>
        <v>0</v>
      </c>
      <c r="R183" s="36">
        <f t="shared" si="5"/>
        <v>1</v>
      </c>
      <c r="S183" s="37"/>
      <c r="T183" s="5"/>
      <c r="U183" s="54"/>
      <c r="V183" s="55"/>
      <c r="W183" s="55"/>
      <c r="X183" s="56"/>
      <c r="Y183" s="55"/>
      <c r="Z183" s="55" t="str">
        <f t="shared" si="43"/>
        <v/>
      </c>
      <c r="AA183" s="57">
        <f t="shared" si="44"/>
        <v>0</v>
      </c>
      <c r="AB183" s="5"/>
      <c r="AC183" s="42">
        <f t="shared" si="6"/>
        <v>0</v>
      </c>
      <c r="AD183" s="3">
        <f t="shared" si="7"/>
        <v>1</v>
      </c>
      <c r="AE183" s="3">
        <f t="shared" si="8"/>
        <v>0</v>
      </c>
      <c r="AF183" s="43">
        <f t="shared" si="9"/>
        <v>0</v>
      </c>
      <c r="AG183" s="44">
        <f t="shared" si="10"/>
        <v>0</v>
      </c>
      <c r="AH183" s="45">
        <f t="shared" si="11"/>
        <v>0</v>
      </c>
      <c r="AI183" s="46">
        <f t="shared" si="12"/>
        <v>0</v>
      </c>
      <c r="AJ183" s="47">
        <f t="shared" si="13"/>
        <v>0</v>
      </c>
      <c r="AK183" s="5"/>
      <c r="AL183" s="42">
        <f t="shared" si="14"/>
        <v>1</v>
      </c>
      <c r="AM183" s="3">
        <f t="shared" si="15"/>
        <v>1</v>
      </c>
      <c r="AN183" s="3">
        <f t="shared" si="16"/>
        <v>1</v>
      </c>
      <c r="AO183" s="3">
        <f t="shared" si="17"/>
        <v>3142.2</v>
      </c>
      <c r="AP183" s="44">
        <f t="shared" si="18"/>
        <v>16090.88</v>
      </c>
      <c r="AQ183" s="48">
        <f t="shared" si="19"/>
        <v>2.7</v>
      </c>
      <c r="AR183" s="46">
        <f t="shared" si="20"/>
        <v>0.002822689316</v>
      </c>
      <c r="AS183" s="47">
        <f t="shared" si="21"/>
        <v>0</v>
      </c>
      <c r="AT183" s="5"/>
      <c r="AU183" s="49">
        <f t="shared" si="27"/>
        <v>16090.88</v>
      </c>
      <c r="AV183" s="50">
        <f t="shared" si="23"/>
        <v>1</v>
      </c>
      <c r="AW183" s="51">
        <f t="shared" si="24"/>
        <v>0.001561188447</v>
      </c>
      <c r="AX183" s="52">
        <f t="shared" si="25"/>
        <v>0</v>
      </c>
      <c r="AY183" s="5"/>
      <c r="AZ183" s="53">
        <f t="shared" si="26"/>
        <v>1</v>
      </c>
      <c r="BA183" s="5"/>
      <c r="BB183" s="5"/>
      <c r="BC183" s="5"/>
    </row>
    <row r="184" ht="12.75" customHeight="1">
      <c r="A184" s="25"/>
      <c r="B184" s="27" t="s">
        <v>337</v>
      </c>
      <c r="C184" s="27"/>
      <c r="D184" s="63">
        <v>27678.0</v>
      </c>
      <c r="E184" s="29" t="s">
        <v>39</v>
      </c>
      <c r="F184" s="30">
        <v>40735.0</v>
      </c>
      <c r="G184" s="32" t="s">
        <v>40</v>
      </c>
      <c r="H184" s="30">
        <v>40877.0</v>
      </c>
      <c r="I184" s="32">
        <f t="shared" si="1"/>
        <v>4.733333333</v>
      </c>
      <c r="J184" s="33" t="s">
        <v>338</v>
      </c>
      <c r="K184" s="34">
        <v>28000.0</v>
      </c>
      <c r="L184" s="35">
        <v>1065.71</v>
      </c>
      <c r="M184" s="35">
        <v>265.52000000000004</v>
      </c>
      <c r="N184" s="35">
        <v>156.82</v>
      </c>
      <c r="O184" s="35">
        <f t="shared" si="50"/>
        <v>0</v>
      </c>
      <c r="P184" s="35">
        <f t="shared" si="3"/>
        <v>1166.05</v>
      </c>
      <c r="Q184" s="36">
        <f t="shared" si="4"/>
        <v>0.04212912783</v>
      </c>
      <c r="R184" s="36">
        <f t="shared" si="5"/>
        <v>0.9578708722</v>
      </c>
      <c r="S184" s="37"/>
      <c r="T184" s="5"/>
      <c r="U184" s="54"/>
      <c r="V184" s="55"/>
      <c r="W184" s="55"/>
      <c r="X184" s="56"/>
      <c r="Y184" s="55"/>
      <c r="Z184" s="55" t="str">
        <f t="shared" si="43"/>
        <v/>
      </c>
      <c r="AA184" s="57">
        <f t="shared" si="44"/>
        <v>0</v>
      </c>
      <c r="AB184" s="5"/>
      <c r="AC184" s="42">
        <f t="shared" si="6"/>
        <v>0</v>
      </c>
      <c r="AD184" s="3">
        <f t="shared" si="7"/>
        <v>1</v>
      </c>
      <c r="AE184" s="3">
        <f t="shared" si="8"/>
        <v>0</v>
      </c>
      <c r="AF184" s="43">
        <f t="shared" si="9"/>
        <v>0</v>
      </c>
      <c r="AG184" s="44">
        <f t="shared" si="10"/>
        <v>0</v>
      </c>
      <c r="AH184" s="45">
        <f t="shared" si="11"/>
        <v>0</v>
      </c>
      <c r="AI184" s="46">
        <f t="shared" si="12"/>
        <v>0</v>
      </c>
      <c r="AJ184" s="47">
        <f t="shared" si="13"/>
        <v>0</v>
      </c>
      <c r="AK184" s="5"/>
      <c r="AL184" s="42">
        <f t="shared" si="14"/>
        <v>1</v>
      </c>
      <c r="AM184" s="3">
        <f t="shared" si="15"/>
        <v>1</v>
      </c>
      <c r="AN184" s="3">
        <f t="shared" si="16"/>
        <v>1</v>
      </c>
      <c r="AO184" s="3">
        <f t="shared" si="17"/>
        <v>422.34</v>
      </c>
      <c r="AP184" s="44">
        <f t="shared" si="18"/>
        <v>27678</v>
      </c>
      <c r="AQ184" s="48">
        <f t="shared" si="19"/>
        <v>4.733333333</v>
      </c>
      <c r="AR184" s="46">
        <f t="shared" si="20"/>
        <v>0.004855321455</v>
      </c>
      <c r="AS184" s="47">
        <f t="shared" si="21"/>
        <v>0.0002045504582</v>
      </c>
      <c r="AT184" s="5"/>
      <c r="AU184" s="49">
        <f t="shared" si="27"/>
        <v>27678</v>
      </c>
      <c r="AV184" s="50">
        <f t="shared" si="23"/>
        <v>1</v>
      </c>
      <c r="AW184" s="51">
        <f t="shared" si="24"/>
        <v>0.002685407748</v>
      </c>
      <c r="AX184" s="52">
        <f t="shared" si="25"/>
        <v>0.0001131338863</v>
      </c>
      <c r="AY184" s="5"/>
      <c r="AZ184" s="53">
        <f t="shared" si="26"/>
        <v>1</v>
      </c>
      <c r="BA184" s="5"/>
      <c r="BB184" s="5"/>
      <c r="BC184" s="5"/>
    </row>
    <row r="185" ht="12.75" customHeight="1">
      <c r="A185" s="25"/>
      <c r="B185" s="27" t="s">
        <v>339</v>
      </c>
      <c r="C185" s="27"/>
      <c r="D185" s="63">
        <v>54549.0</v>
      </c>
      <c r="E185" s="29" t="s">
        <v>39</v>
      </c>
      <c r="F185" s="30">
        <v>40787.0</v>
      </c>
      <c r="G185" s="31" t="s">
        <v>40</v>
      </c>
      <c r="H185" s="30">
        <v>41518.0</v>
      </c>
      <c r="I185" s="32">
        <f t="shared" si="1"/>
        <v>24.36666667</v>
      </c>
      <c r="J185" s="33" t="s">
        <v>340</v>
      </c>
      <c r="K185" s="34">
        <v>68000.0</v>
      </c>
      <c r="L185" s="112">
        <v>3121.11</v>
      </c>
      <c r="M185" s="35">
        <v>3545.91</v>
      </c>
      <c r="N185" s="35">
        <v>902.82</v>
      </c>
      <c r="O185" s="35">
        <v>0.0</v>
      </c>
      <c r="P185" s="35">
        <f t="shared" si="3"/>
        <v>0</v>
      </c>
      <c r="Q185" s="36">
        <f t="shared" si="4"/>
        <v>0</v>
      </c>
      <c r="R185" s="36">
        <f t="shared" si="5"/>
        <v>1</v>
      </c>
      <c r="S185" s="37"/>
      <c r="T185" s="5"/>
      <c r="U185" s="54">
        <v>1170.8</v>
      </c>
      <c r="V185" s="55">
        <v>6081.87</v>
      </c>
      <c r="W185" s="55">
        <f t="shared" ref="W185:W186" si="51">U185+V185</f>
        <v>7252.67</v>
      </c>
      <c r="X185" s="56">
        <v>0.0725</v>
      </c>
      <c r="Y185" s="55">
        <f t="shared" ref="Y185:Y186" si="52">((X185*D185)/365)*180</f>
        <v>1950.313562</v>
      </c>
      <c r="Z185" s="55">
        <f t="shared" si="43"/>
        <v>1950.313562</v>
      </c>
      <c r="AA185" s="57">
        <f t="shared" si="44"/>
        <v>3121.113562</v>
      </c>
      <c r="AB185" s="5"/>
      <c r="AC185" s="42">
        <f t="shared" si="6"/>
        <v>0</v>
      </c>
      <c r="AD185" s="3">
        <f t="shared" si="7"/>
        <v>1</v>
      </c>
      <c r="AE185" s="3">
        <f t="shared" si="8"/>
        <v>0</v>
      </c>
      <c r="AF185" s="43">
        <f t="shared" si="9"/>
        <v>0</v>
      </c>
      <c r="AG185" s="44">
        <f t="shared" si="10"/>
        <v>0</v>
      </c>
      <c r="AH185" s="45">
        <f t="shared" si="11"/>
        <v>0</v>
      </c>
      <c r="AI185" s="46">
        <f t="shared" si="12"/>
        <v>0</v>
      </c>
      <c r="AJ185" s="47">
        <f t="shared" si="13"/>
        <v>0</v>
      </c>
      <c r="AK185" s="5"/>
      <c r="AL185" s="42">
        <f t="shared" si="14"/>
        <v>1</v>
      </c>
      <c r="AM185" s="3">
        <f t="shared" si="15"/>
        <v>1</v>
      </c>
      <c r="AN185" s="3">
        <f t="shared" si="16"/>
        <v>1</v>
      </c>
      <c r="AO185" s="3">
        <f t="shared" si="17"/>
        <v>4448.73</v>
      </c>
      <c r="AP185" s="44">
        <f t="shared" si="18"/>
        <v>54549</v>
      </c>
      <c r="AQ185" s="48">
        <f t="shared" si="19"/>
        <v>24.36666667</v>
      </c>
      <c r="AR185" s="46">
        <f t="shared" si="20"/>
        <v>0.009569077608</v>
      </c>
      <c r="AS185" s="47">
        <f t="shared" si="21"/>
        <v>0</v>
      </c>
      <c r="AT185" s="5"/>
      <c r="AU185" s="49">
        <f t="shared" si="27"/>
        <v>54549</v>
      </c>
      <c r="AV185" s="50">
        <f t="shared" si="23"/>
        <v>1</v>
      </c>
      <c r="AW185" s="51">
        <f t="shared" si="24"/>
        <v>0.005292517785</v>
      </c>
      <c r="AX185" s="52">
        <f t="shared" si="25"/>
        <v>0</v>
      </c>
      <c r="AY185" s="5"/>
      <c r="AZ185" s="53">
        <f t="shared" si="26"/>
        <v>1</v>
      </c>
      <c r="BA185" s="5"/>
      <c r="BB185" s="5"/>
      <c r="BC185" s="5"/>
    </row>
    <row r="186" ht="12.75" customHeight="1">
      <c r="A186" s="25"/>
      <c r="B186" s="27" t="s">
        <v>341</v>
      </c>
      <c r="C186" s="27"/>
      <c r="D186" s="63">
        <v>10413.0</v>
      </c>
      <c r="E186" s="29" t="s">
        <v>39</v>
      </c>
      <c r="F186" s="30">
        <v>40787.0</v>
      </c>
      <c r="G186" s="88" t="s">
        <v>40</v>
      </c>
      <c r="H186" s="30">
        <v>41670.0</v>
      </c>
      <c r="I186" s="32">
        <f t="shared" si="1"/>
        <v>29.43333333</v>
      </c>
      <c r="J186" s="33" t="s">
        <v>342</v>
      </c>
      <c r="K186" s="34">
        <v>7000.0</v>
      </c>
      <c r="L186" s="112">
        <v>628.08</v>
      </c>
      <c r="M186" s="35">
        <v>1929.42</v>
      </c>
      <c r="N186" s="35">
        <v>971.66</v>
      </c>
      <c r="O186" s="35">
        <v>0.0</v>
      </c>
      <c r="P186" s="35">
        <f t="shared" si="3"/>
        <v>6942.16</v>
      </c>
      <c r="Q186" s="36">
        <f t="shared" si="4"/>
        <v>0.6666820321</v>
      </c>
      <c r="R186" s="36">
        <f t="shared" si="5"/>
        <v>0.3333179679</v>
      </c>
      <c r="S186" s="37"/>
      <c r="T186" s="5"/>
      <c r="U186" s="54">
        <v>230.1</v>
      </c>
      <c r="V186" s="55">
        <v>714.17</v>
      </c>
      <c r="W186" s="55">
        <f t="shared" si="51"/>
        <v>944.27</v>
      </c>
      <c r="X186" s="56">
        <v>0.0775</v>
      </c>
      <c r="Y186" s="55">
        <f t="shared" si="52"/>
        <v>397.9763014</v>
      </c>
      <c r="Z186" s="55">
        <f t="shared" si="43"/>
        <v>397.9763014</v>
      </c>
      <c r="AA186" s="57">
        <f t="shared" si="44"/>
        <v>628.0763014</v>
      </c>
      <c r="AB186" s="5"/>
      <c r="AC186" s="42">
        <f t="shared" si="6"/>
        <v>0</v>
      </c>
      <c r="AD186" s="3">
        <f t="shared" si="7"/>
        <v>1</v>
      </c>
      <c r="AE186" s="3">
        <f t="shared" si="8"/>
        <v>0</v>
      </c>
      <c r="AF186" s="43">
        <f t="shared" si="9"/>
        <v>0</v>
      </c>
      <c r="AG186" s="44">
        <f t="shared" si="10"/>
        <v>0</v>
      </c>
      <c r="AH186" s="45">
        <f t="shared" si="11"/>
        <v>0</v>
      </c>
      <c r="AI186" s="46">
        <f t="shared" si="12"/>
        <v>0</v>
      </c>
      <c r="AJ186" s="47">
        <f t="shared" si="13"/>
        <v>0</v>
      </c>
      <c r="AK186" s="5"/>
      <c r="AL186" s="42">
        <f t="shared" si="14"/>
        <v>1</v>
      </c>
      <c r="AM186" s="3">
        <f t="shared" si="15"/>
        <v>1</v>
      </c>
      <c r="AN186" s="3">
        <f t="shared" si="16"/>
        <v>1</v>
      </c>
      <c r="AO186" s="3">
        <f t="shared" si="17"/>
        <v>2901.08</v>
      </c>
      <c r="AP186" s="44">
        <f t="shared" si="18"/>
        <v>10413</v>
      </c>
      <c r="AQ186" s="48">
        <f t="shared" si="19"/>
        <v>29.43333333</v>
      </c>
      <c r="AR186" s="46">
        <f t="shared" si="20"/>
        <v>0.001826666027</v>
      </c>
      <c r="AS186" s="47">
        <f t="shared" si="21"/>
        <v>0.001217805419</v>
      </c>
      <c r="AT186" s="5"/>
      <c r="AU186" s="49">
        <f t="shared" si="27"/>
        <v>10413</v>
      </c>
      <c r="AV186" s="50">
        <f t="shared" si="23"/>
        <v>1</v>
      </c>
      <c r="AW186" s="51">
        <f t="shared" si="24"/>
        <v>0.001010302438</v>
      </c>
      <c r="AX186" s="52">
        <f t="shared" si="25"/>
        <v>0.0006735504824</v>
      </c>
      <c r="AY186" s="5"/>
      <c r="AZ186" s="53">
        <f t="shared" si="26"/>
        <v>1</v>
      </c>
      <c r="BA186" s="5"/>
      <c r="BB186" s="5"/>
      <c r="BC186" s="5"/>
    </row>
    <row r="187" ht="12.75" customHeight="1">
      <c r="A187" s="25"/>
      <c r="B187" s="27" t="s">
        <v>343</v>
      </c>
      <c r="C187" s="27"/>
      <c r="D187" s="63">
        <v>16768.0</v>
      </c>
      <c r="E187" s="29" t="s">
        <v>39</v>
      </c>
      <c r="F187" s="30">
        <v>40797.0</v>
      </c>
      <c r="G187" s="31" t="s">
        <v>40</v>
      </c>
      <c r="H187" s="30">
        <v>40876.0</v>
      </c>
      <c r="I187" s="32">
        <f t="shared" si="1"/>
        <v>2.633333333</v>
      </c>
      <c r="J187" s="33" t="s">
        <v>344</v>
      </c>
      <c r="K187" s="34" t="s">
        <v>129</v>
      </c>
      <c r="L187" s="35">
        <v>924.8199999999999</v>
      </c>
      <c r="M187" s="35">
        <v>327.65999999999997</v>
      </c>
      <c r="N187" s="35">
        <v>388.42999999999995</v>
      </c>
      <c r="O187" s="35">
        <f>IF(K187="N/A",0,IF(K187-D187&gt;0,0,D187-K187))</f>
        <v>0</v>
      </c>
      <c r="P187" s="35">
        <f t="shared" si="3"/>
        <v>0</v>
      </c>
      <c r="Q187" s="36">
        <f t="shared" si="4"/>
        <v>0</v>
      </c>
      <c r="R187" s="36">
        <f t="shared" si="5"/>
        <v>1</v>
      </c>
      <c r="S187" s="37"/>
      <c r="T187" s="5"/>
      <c r="U187" s="54"/>
      <c r="V187" s="55"/>
      <c r="W187" s="55"/>
      <c r="X187" s="56"/>
      <c r="Y187" s="55"/>
      <c r="Z187" s="55" t="str">
        <f t="shared" si="43"/>
        <v/>
      </c>
      <c r="AA187" s="57">
        <f t="shared" si="44"/>
        <v>0</v>
      </c>
      <c r="AB187" s="5"/>
      <c r="AC187" s="42">
        <f t="shared" si="6"/>
        <v>0</v>
      </c>
      <c r="AD187" s="3">
        <f t="shared" si="7"/>
        <v>1</v>
      </c>
      <c r="AE187" s="3">
        <f t="shared" si="8"/>
        <v>0</v>
      </c>
      <c r="AF187" s="43">
        <f t="shared" si="9"/>
        <v>0</v>
      </c>
      <c r="AG187" s="44">
        <f t="shared" si="10"/>
        <v>0</v>
      </c>
      <c r="AH187" s="45">
        <f t="shared" si="11"/>
        <v>0</v>
      </c>
      <c r="AI187" s="46">
        <f t="shared" si="12"/>
        <v>0</v>
      </c>
      <c r="AJ187" s="47">
        <f t="shared" si="13"/>
        <v>0</v>
      </c>
      <c r="AK187" s="5"/>
      <c r="AL187" s="42">
        <f t="shared" si="14"/>
        <v>1</v>
      </c>
      <c r="AM187" s="3">
        <f t="shared" si="15"/>
        <v>1</v>
      </c>
      <c r="AN187" s="3">
        <f t="shared" si="16"/>
        <v>1</v>
      </c>
      <c r="AO187" s="3">
        <f t="shared" si="17"/>
        <v>716.09</v>
      </c>
      <c r="AP187" s="44">
        <f t="shared" si="18"/>
        <v>16768</v>
      </c>
      <c r="AQ187" s="48">
        <f t="shared" si="19"/>
        <v>2.633333333</v>
      </c>
      <c r="AR187" s="46">
        <f t="shared" si="20"/>
        <v>0.002941470849</v>
      </c>
      <c r="AS187" s="47">
        <f t="shared" si="21"/>
        <v>0</v>
      </c>
      <c r="AT187" s="5"/>
      <c r="AU187" s="49">
        <f t="shared" si="27"/>
        <v>16768</v>
      </c>
      <c r="AV187" s="50">
        <f t="shared" si="23"/>
        <v>1</v>
      </c>
      <c r="AW187" s="51">
        <f t="shared" si="24"/>
        <v>0.001626884786</v>
      </c>
      <c r="AX187" s="52">
        <f t="shared" si="25"/>
        <v>0</v>
      </c>
      <c r="AY187" s="5"/>
      <c r="AZ187" s="53">
        <f t="shared" si="26"/>
        <v>1</v>
      </c>
      <c r="BA187" s="5"/>
      <c r="BB187" s="5"/>
      <c r="BC187" s="5"/>
    </row>
    <row r="188" ht="12.75" customHeight="1">
      <c r="A188" s="69"/>
      <c r="B188" s="27" t="s">
        <v>345</v>
      </c>
      <c r="C188" s="27"/>
      <c r="D188" s="63">
        <v>13192.0</v>
      </c>
      <c r="E188" s="29" t="s">
        <v>39</v>
      </c>
      <c r="F188" s="30">
        <v>40797.0</v>
      </c>
      <c r="G188" s="32" t="s">
        <v>40</v>
      </c>
      <c r="H188" s="30">
        <v>40968.0</v>
      </c>
      <c r="I188" s="32">
        <f t="shared" si="1"/>
        <v>5.7</v>
      </c>
      <c r="J188" s="33" t="s">
        <v>346</v>
      </c>
      <c r="K188" s="34">
        <v>13500.0</v>
      </c>
      <c r="L188" s="35">
        <v>3338.11</v>
      </c>
      <c r="M188" s="35">
        <v>1853.95</v>
      </c>
      <c r="N188" s="35">
        <v>55.400000000000006</v>
      </c>
      <c r="O188" s="35">
        <v>0.0</v>
      </c>
      <c r="P188" s="35">
        <f t="shared" si="3"/>
        <v>4939.46</v>
      </c>
      <c r="Q188" s="36">
        <f t="shared" si="4"/>
        <v>0.3744284415</v>
      </c>
      <c r="R188" s="36">
        <f t="shared" si="5"/>
        <v>0.6255715585</v>
      </c>
      <c r="S188" s="37"/>
      <c r="T188" s="5"/>
      <c r="U188" s="54"/>
      <c r="V188" s="55"/>
      <c r="W188" s="55"/>
      <c r="X188" s="56"/>
      <c r="Y188" s="55"/>
      <c r="Z188" s="55" t="str">
        <f t="shared" si="43"/>
        <v/>
      </c>
      <c r="AA188" s="57">
        <f t="shared" si="44"/>
        <v>0</v>
      </c>
      <c r="AB188" s="5"/>
      <c r="AC188" s="42">
        <f t="shared" si="6"/>
        <v>0</v>
      </c>
      <c r="AD188" s="3">
        <f t="shared" si="7"/>
        <v>1</v>
      </c>
      <c r="AE188" s="3">
        <f t="shared" si="8"/>
        <v>0</v>
      </c>
      <c r="AF188" s="43">
        <f t="shared" si="9"/>
        <v>0</v>
      </c>
      <c r="AG188" s="44">
        <f t="shared" si="10"/>
        <v>0</v>
      </c>
      <c r="AH188" s="45">
        <f t="shared" si="11"/>
        <v>0</v>
      </c>
      <c r="AI188" s="46">
        <f t="shared" si="12"/>
        <v>0</v>
      </c>
      <c r="AJ188" s="47">
        <f t="shared" si="13"/>
        <v>0</v>
      </c>
      <c r="AK188" s="5"/>
      <c r="AL188" s="42">
        <f t="shared" si="14"/>
        <v>1</v>
      </c>
      <c r="AM188" s="3">
        <f t="shared" si="15"/>
        <v>1</v>
      </c>
      <c r="AN188" s="3">
        <f t="shared" si="16"/>
        <v>1</v>
      </c>
      <c r="AO188" s="3">
        <f t="shared" si="17"/>
        <v>1909.35</v>
      </c>
      <c r="AP188" s="44">
        <f t="shared" si="18"/>
        <v>13192</v>
      </c>
      <c r="AQ188" s="48">
        <f t="shared" si="19"/>
        <v>5.7</v>
      </c>
      <c r="AR188" s="46">
        <f t="shared" si="20"/>
        <v>0.002314162896</v>
      </c>
      <c r="AS188" s="47">
        <f t="shared" si="21"/>
        <v>0.0008664884064</v>
      </c>
      <c r="AT188" s="5"/>
      <c r="AU188" s="49">
        <f t="shared" si="27"/>
        <v>13192</v>
      </c>
      <c r="AV188" s="50">
        <f t="shared" si="23"/>
        <v>1</v>
      </c>
      <c r="AW188" s="51">
        <f t="shared" si="24"/>
        <v>0.001279929873</v>
      </c>
      <c r="AX188" s="52">
        <f t="shared" si="25"/>
        <v>0.0004792421474</v>
      </c>
      <c r="AY188" s="5"/>
      <c r="AZ188" s="53">
        <f t="shared" si="26"/>
        <v>1</v>
      </c>
      <c r="BA188" s="5"/>
      <c r="BB188" s="5"/>
      <c r="BC188" s="5"/>
    </row>
    <row r="189" ht="12.75" customHeight="1">
      <c r="A189" s="25"/>
      <c r="B189" s="27" t="s">
        <v>347</v>
      </c>
      <c r="C189" s="27"/>
      <c r="D189" s="63">
        <v>16483.0</v>
      </c>
      <c r="E189" s="29" t="s">
        <v>39</v>
      </c>
      <c r="F189" s="30">
        <v>40827.0</v>
      </c>
      <c r="G189" s="32" t="s">
        <v>40</v>
      </c>
      <c r="H189" s="30">
        <v>40877.0</v>
      </c>
      <c r="I189" s="32">
        <f t="shared" si="1"/>
        <v>1.666666667</v>
      </c>
      <c r="J189" s="33" t="s">
        <v>348</v>
      </c>
      <c r="K189" s="34">
        <v>19000.0</v>
      </c>
      <c r="L189" s="35">
        <v>692.8399999999999</v>
      </c>
      <c r="M189" s="35">
        <v>2051.4800000000005</v>
      </c>
      <c r="N189" s="35">
        <v>106.61</v>
      </c>
      <c r="O189" s="35">
        <f t="shared" ref="O189:O191" si="53">IF(K189="N/A",0,IF(K189-D189&gt;0,0,D189-K189))</f>
        <v>0</v>
      </c>
      <c r="P189" s="35">
        <f t="shared" si="3"/>
        <v>333.93</v>
      </c>
      <c r="Q189" s="36">
        <f t="shared" si="4"/>
        <v>0.02025905478</v>
      </c>
      <c r="R189" s="36">
        <f t="shared" si="5"/>
        <v>0.9797409452</v>
      </c>
      <c r="S189" s="37"/>
      <c r="T189" s="5"/>
      <c r="U189" s="54"/>
      <c r="V189" s="55"/>
      <c r="W189" s="55"/>
      <c r="X189" s="56"/>
      <c r="Y189" s="55"/>
      <c r="Z189" s="55" t="str">
        <f t="shared" si="43"/>
        <v/>
      </c>
      <c r="AA189" s="57">
        <f t="shared" si="44"/>
        <v>0</v>
      </c>
      <c r="AB189" s="5"/>
      <c r="AC189" s="42">
        <f t="shared" si="6"/>
        <v>0</v>
      </c>
      <c r="AD189" s="3">
        <f t="shared" si="7"/>
        <v>1</v>
      </c>
      <c r="AE189" s="3">
        <f t="shared" si="8"/>
        <v>0</v>
      </c>
      <c r="AF189" s="43">
        <f t="shared" si="9"/>
        <v>0</v>
      </c>
      <c r="AG189" s="44">
        <f t="shared" si="10"/>
        <v>0</v>
      </c>
      <c r="AH189" s="45">
        <f t="shared" si="11"/>
        <v>0</v>
      </c>
      <c r="AI189" s="46">
        <f t="shared" si="12"/>
        <v>0</v>
      </c>
      <c r="AJ189" s="47">
        <f t="shared" si="13"/>
        <v>0</v>
      </c>
      <c r="AK189" s="5"/>
      <c r="AL189" s="42">
        <f t="shared" si="14"/>
        <v>1</v>
      </c>
      <c r="AM189" s="3">
        <f t="shared" si="15"/>
        <v>1</v>
      </c>
      <c r="AN189" s="3">
        <f t="shared" si="16"/>
        <v>1</v>
      </c>
      <c r="AO189" s="3">
        <f t="shared" si="17"/>
        <v>2158.09</v>
      </c>
      <c r="AP189" s="44">
        <f t="shared" si="18"/>
        <v>16483</v>
      </c>
      <c r="AQ189" s="48">
        <f t="shared" si="19"/>
        <v>1.666666667</v>
      </c>
      <c r="AR189" s="46">
        <f t="shared" si="20"/>
        <v>0.002891475668</v>
      </c>
      <c r="AS189" s="47">
        <f t="shared" si="21"/>
        <v>0.00005857856396</v>
      </c>
      <c r="AT189" s="5"/>
      <c r="AU189" s="49">
        <f t="shared" si="27"/>
        <v>16483</v>
      </c>
      <c r="AV189" s="50">
        <f t="shared" si="23"/>
        <v>1</v>
      </c>
      <c r="AW189" s="51">
        <f t="shared" si="24"/>
        <v>0.001599233178</v>
      </c>
      <c r="AX189" s="52">
        <f t="shared" si="25"/>
        <v>0.00003239895257</v>
      </c>
      <c r="AY189" s="5"/>
      <c r="AZ189" s="53">
        <f t="shared" si="26"/>
        <v>1</v>
      </c>
      <c r="BA189" s="5"/>
      <c r="BB189" s="5"/>
      <c r="BC189" s="5"/>
    </row>
    <row r="190" ht="12.75" customHeight="1">
      <c r="A190" s="25"/>
      <c r="B190" s="27" t="s">
        <v>349</v>
      </c>
      <c r="C190" s="27"/>
      <c r="D190" s="63">
        <v>33923.99</v>
      </c>
      <c r="E190" s="29" t="s">
        <v>49</v>
      </c>
      <c r="F190" s="30">
        <v>40847.0</v>
      </c>
      <c r="G190" s="32" t="s">
        <v>40</v>
      </c>
      <c r="H190" s="30">
        <v>41098.0</v>
      </c>
      <c r="I190" s="32">
        <f t="shared" si="1"/>
        <v>8.366666667</v>
      </c>
      <c r="J190" s="33" t="s">
        <v>350</v>
      </c>
      <c r="K190" s="34">
        <v>32000.0</v>
      </c>
      <c r="L190" s="35">
        <v>959.36</v>
      </c>
      <c r="M190" s="35">
        <v>0.0</v>
      </c>
      <c r="N190" s="35">
        <v>0.0</v>
      </c>
      <c r="O190" s="35">
        <f t="shared" si="53"/>
        <v>1923.99</v>
      </c>
      <c r="P190" s="35">
        <f t="shared" si="3"/>
        <v>2883.35</v>
      </c>
      <c r="Q190" s="36">
        <f t="shared" si="4"/>
        <v>0.0849944243</v>
      </c>
      <c r="R190" s="36">
        <f t="shared" si="5"/>
        <v>0.9150055757</v>
      </c>
      <c r="S190" s="37"/>
      <c r="T190" s="5"/>
      <c r="U190" s="54"/>
      <c r="V190" s="55"/>
      <c r="W190" s="55"/>
      <c r="X190" s="56"/>
      <c r="Y190" s="55"/>
      <c r="Z190" s="55" t="str">
        <f t="shared" si="43"/>
        <v/>
      </c>
      <c r="AA190" s="57">
        <f t="shared" si="44"/>
        <v>0</v>
      </c>
      <c r="AB190" s="5"/>
      <c r="AC190" s="42">
        <f t="shared" si="6"/>
        <v>1</v>
      </c>
      <c r="AD190" s="3">
        <f t="shared" si="7"/>
        <v>1</v>
      </c>
      <c r="AE190" s="3">
        <f t="shared" si="8"/>
        <v>1</v>
      </c>
      <c r="AF190" s="43">
        <f t="shared" si="9"/>
        <v>0</v>
      </c>
      <c r="AG190" s="44">
        <f t="shared" si="10"/>
        <v>33923.99</v>
      </c>
      <c r="AH190" s="45">
        <f t="shared" si="11"/>
        <v>8.366666667</v>
      </c>
      <c r="AI190" s="46">
        <f t="shared" si="12"/>
        <v>0.00734125503</v>
      </c>
      <c r="AJ190" s="47">
        <f t="shared" si="13"/>
        <v>0.0006239657449</v>
      </c>
      <c r="AK190" s="5"/>
      <c r="AL190" s="42">
        <f t="shared" si="14"/>
        <v>0</v>
      </c>
      <c r="AM190" s="3">
        <f t="shared" si="15"/>
        <v>1</v>
      </c>
      <c r="AN190" s="3">
        <f t="shared" si="16"/>
        <v>0</v>
      </c>
      <c r="AO190" s="3">
        <f t="shared" si="17"/>
        <v>0</v>
      </c>
      <c r="AP190" s="44">
        <f t="shared" si="18"/>
        <v>0</v>
      </c>
      <c r="AQ190" s="48">
        <f t="shared" si="19"/>
        <v>0</v>
      </c>
      <c r="AR190" s="46">
        <f t="shared" si="20"/>
        <v>0</v>
      </c>
      <c r="AS190" s="47">
        <f t="shared" si="21"/>
        <v>0</v>
      </c>
      <c r="AT190" s="5"/>
      <c r="AU190" s="49">
        <f t="shared" si="27"/>
        <v>33923.99</v>
      </c>
      <c r="AV190" s="50">
        <f t="shared" si="23"/>
        <v>1</v>
      </c>
      <c r="AW190" s="51">
        <f t="shared" si="24"/>
        <v>0.003291413599</v>
      </c>
      <c r="AX190" s="52">
        <f t="shared" si="25"/>
        <v>0.000279751804</v>
      </c>
      <c r="AY190" s="5"/>
      <c r="AZ190" s="53">
        <f t="shared" si="26"/>
        <v>1</v>
      </c>
      <c r="BA190" s="5"/>
      <c r="BB190" s="5"/>
      <c r="BC190" s="5"/>
    </row>
    <row r="191" ht="12.75" customHeight="1">
      <c r="A191" s="25"/>
      <c r="B191" s="27" t="s">
        <v>351</v>
      </c>
      <c r="C191" s="27"/>
      <c r="D191" s="63">
        <v>9213.0</v>
      </c>
      <c r="E191" s="29" t="s">
        <v>39</v>
      </c>
      <c r="F191" s="30">
        <v>40858.0</v>
      </c>
      <c r="G191" s="109" t="s">
        <v>40</v>
      </c>
      <c r="H191" s="30">
        <v>40888.0</v>
      </c>
      <c r="I191" s="32">
        <f t="shared" si="1"/>
        <v>1</v>
      </c>
      <c r="J191" s="33" t="s">
        <v>352</v>
      </c>
      <c r="K191" s="34">
        <v>10000.0</v>
      </c>
      <c r="L191" s="35">
        <v>9665.71</v>
      </c>
      <c r="M191" s="35">
        <v>7096.389999999999</v>
      </c>
      <c r="N191" s="35">
        <v>7.18</v>
      </c>
      <c r="O191" s="35">
        <f t="shared" si="53"/>
        <v>0</v>
      </c>
      <c r="P191" s="35">
        <f t="shared" si="3"/>
        <v>15982.28</v>
      </c>
      <c r="Q191" s="36">
        <f t="shared" si="4"/>
        <v>1.734753066</v>
      </c>
      <c r="R191" s="36">
        <f t="shared" si="5"/>
        <v>0</v>
      </c>
      <c r="S191" s="37"/>
      <c r="T191" s="5"/>
      <c r="U191" s="54"/>
      <c r="V191" s="55"/>
      <c r="W191" s="55"/>
      <c r="X191" s="56"/>
      <c r="Y191" s="55"/>
      <c r="Z191" s="55" t="str">
        <f t="shared" si="43"/>
        <v/>
      </c>
      <c r="AA191" s="57">
        <f t="shared" si="44"/>
        <v>0</v>
      </c>
      <c r="AB191" s="5"/>
      <c r="AC191" s="42">
        <f t="shared" si="6"/>
        <v>0</v>
      </c>
      <c r="AD191" s="3">
        <f t="shared" si="7"/>
        <v>1</v>
      </c>
      <c r="AE191" s="3">
        <f t="shared" si="8"/>
        <v>0</v>
      </c>
      <c r="AF191" s="43">
        <f t="shared" si="9"/>
        <v>0</v>
      </c>
      <c r="AG191" s="44">
        <f t="shared" si="10"/>
        <v>0</v>
      </c>
      <c r="AH191" s="45">
        <f t="shared" si="11"/>
        <v>0</v>
      </c>
      <c r="AI191" s="46">
        <f t="shared" si="12"/>
        <v>0</v>
      </c>
      <c r="AJ191" s="47">
        <f t="shared" si="13"/>
        <v>0</v>
      </c>
      <c r="AK191" s="5"/>
      <c r="AL191" s="42">
        <f t="shared" si="14"/>
        <v>1</v>
      </c>
      <c r="AM191" s="3">
        <f t="shared" si="15"/>
        <v>1</v>
      </c>
      <c r="AN191" s="3">
        <f t="shared" si="16"/>
        <v>1</v>
      </c>
      <c r="AO191" s="3">
        <f t="shared" si="17"/>
        <v>7103.57</v>
      </c>
      <c r="AP191" s="44">
        <f t="shared" si="18"/>
        <v>9213</v>
      </c>
      <c r="AQ191" s="48">
        <f t="shared" si="19"/>
        <v>1</v>
      </c>
      <c r="AR191" s="46">
        <f t="shared" si="20"/>
        <v>0.001616160003</v>
      </c>
      <c r="AS191" s="47">
        <f t="shared" si="21"/>
        <v>0.002803638521</v>
      </c>
      <c r="AT191" s="5"/>
      <c r="AU191" s="49">
        <f t="shared" si="27"/>
        <v>9213</v>
      </c>
      <c r="AV191" s="50">
        <f t="shared" si="23"/>
        <v>1</v>
      </c>
      <c r="AW191" s="51">
        <f t="shared" si="24"/>
        <v>0.0008938746146</v>
      </c>
      <c r="AX191" s="52">
        <f t="shared" si="25"/>
        <v>0.001550651729</v>
      </c>
      <c r="AY191" s="5"/>
      <c r="AZ191" s="53">
        <f t="shared" si="26"/>
        <v>1</v>
      </c>
      <c r="BA191" s="5"/>
      <c r="BB191" s="5"/>
      <c r="BC191" s="5"/>
    </row>
    <row r="192" ht="12.75" customHeight="1">
      <c r="A192" s="25"/>
      <c r="B192" s="27" t="s">
        <v>353</v>
      </c>
      <c r="C192" s="27"/>
      <c r="D192" s="63">
        <v>8771.0</v>
      </c>
      <c r="E192" s="29" t="s">
        <v>39</v>
      </c>
      <c r="F192" s="30">
        <v>40858.0</v>
      </c>
      <c r="G192" s="32" t="s">
        <v>40</v>
      </c>
      <c r="H192" s="30">
        <v>40999.0</v>
      </c>
      <c r="I192" s="32">
        <f t="shared" si="1"/>
        <v>4.7</v>
      </c>
      <c r="J192" s="114" t="s">
        <v>354</v>
      </c>
      <c r="K192" s="34">
        <v>9500.0</v>
      </c>
      <c r="L192" s="35">
        <v>1887.11</v>
      </c>
      <c r="M192" s="35">
        <v>5423.92</v>
      </c>
      <c r="N192" s="35">
        <v>0.0</v>
      </c>
      <c r="O192" s="35">
        <v>4594.48</v>
      </c>
      <c r="P192" s="35">
        <f t="shared" si="3"/>
        <v>6582.03</v>
      </c>
      <c r="Q192" s="36">
        <f t="shared" si="4"/>
        <v>0.7504309657</v>
      </c>
      <c r="R192" s="36">
        <f t="shared" si="5"/>
        <v>0.2495690343</v>
      </c>
      <c r="S192" s="37"/>
      <c r="T192" s="5"/>
      <c r="U192" s="54"/>
      <c r="V192" s="55"/>
      <c r="W192" s="55"/>
      <c r="X192" s="56"/>
      <c r="Y192" s="55"/>
      <c r="Z192" s="55" t="str">
        <f t="shared" si="43"/>
        <v/>
      </c>
      <c r="AA192" s="57">
        <f t="shared" si="44"/>
        <v>0</v>
      </c>
      <c r="AB192" s="5"/>
      <c r="AC192" s="42">
        <f t="shared" si="6"/>
        <v>0</v>
      </c>
      <c r="AD192" s="3">
        <f t="shared" si="7"/>
        <v>1</v>
      </c>
      <c r="AE192" s="3">
        <f t="shared" si="8"/>
        <v>0</v>
      </c>
      <c r="AF192" s="43">
        <f t="shared" si="9"/>
        <v>0</v>
      </c>
      <c r="AG192" s="44">
        <f t="shared" si="10"/>
        <v>0</v>
      </c>
      <c r="AH192" s="45">
        <f t="shared" si="11"/>
        <v>0</v>
      </c>
      <c r="AI192" s="46">
        <f t="shared" si="12"/>
        <v>0</v>
      </c>
      <c r="AJ192" s="47">
        <f t="shared" si="13"/>
        <v>0</v>
      </c>
      <c r="AK192" s="5"/>
      <c r="AL192" s="42">
        <f t="shared" si="14"/>
        <v>1</v>
      </c>
      <c r="AM192" s="3">
        <f t="shared" si="15"/>
        <v>1</v>
      </c>
      <c r="AN192" s="3">
        <f t="shared" si="16"/>
        <v>1</v>
      </c>
      <c r="AO192" s="3">
        <f t="shared" si="17"/>
        <v>5423.92</v>
      </c>
      <c r="AP192" s="44">
        <f t="shared" si="18"/>
        <v>8771</v>
      </c>
      <c r="AQ192" s="48">
        <f t="shared" si="19"/>
        <v>4.7</v>
      </c>
      <c r="AR192" s="46">
        <f t="shared" si="20"/>
        <v>0.001538623617</v>
      </c>
      <c r="AS192" s="47">
        <f t="shared" si="21"/>
        <v>0.001154630807</v>
      </c>
      <c r="AT192" s="5"/>
      <c r="AU192" s="49">
        <f t="shared" si="27"/>
        <v>8771</v>
      </c>
      <c r="AV192" s="50">
        <f t="shared" si="23"/>
        <v>1</v>
      </c>
      <c r="AW192" s="51">
        <f t="shared" si="24"/>
        <v>0.0008509903663</v>
      </c>
      <c r="AX192" s="52">
        <f t="shared" si="25"/>
        <v>0.0006386095224</v>
      </c>
      <c r="AY192" s="5"/>
      <c r="AZ192" s="53">
        <f t="shared" si="26"/>
        <v>1</v>
      </c>
      <c r="BA192" s="5"/>
      <c r="BB192" s="5"/>
      <c r="BC192" s="5"/>
    </row>
    <row r="193" ht="12.75" customHeight="1">
      <c r="A193" s="69"/>
      <c r="B193" s="27" t="s">
        <v>355</v>
      </c>
      <c r="C193" s="27"/>
      <c r="D193" s="63">
        <v>18263.0</v>
      </c>
      <c r="E193" s="29" t="s">
        <v>39</v>
      </c>
      <c r="F193" s="30">
        <v>40858.0</v>
      </c>
      <c r="G193" s="32" t="s">
        <v>40</v>
      </c>
      <c r="H193" s="30">
        <v>40999.0</v>
      </c>
      <c r="I193" s="32">
        <f t="shared" si="1"/>
        <v>4.7</v>
      </c>
      <c r="J193" s="33" t="s">
        <v>356</v>
      </c>
      <c r="K193" s="34">
        <v>13000.0</v>
      </c>
      <c r="L193" s="35">
        <v>1284.6599999999999</v>
      </c>
      <c r="M193" s="35">
        <v>3888.5600000000004</v>
      </c>
      <c r="N193" s="35">
        <v>128.51999999999998</v>
      </c>
      <c r="O193" s="35">
        <v>6213.76</v>
      </c>
      <c r="P193" s="35">
        <f t="shared" si="3"/>
        <v>10564.74</v>
      </c>
      <c r="Q193" s="36">
        <f t="shared" si="4"/>
        <v>0.5784777966</v>
      </c>
      <c r="R193" s="36">
        <f t="shared" si="5"/>
        <v>0.4215222034</v>
      </c>
      <c r="S193" s="37"/>
      <c r="T193" s="5"/>
      <c r="U193" s="54"/>
      <c r="V193" s="55"/>
      <c r="W193" s="55"/>
      <c r="X193" s="56"/>
      <c r="Y193" s="55"/>
      <c r="Z193" s="55" t="str">
        <f t="shared" si="43"/>
        <v/>
      </c>
      <c r="AA193" s="57">
        <f t="shared" si="44"/>
        <v>0</v>
      </c>
      <c r="AB193" s="5"/>
      <c r="AC193" s="42">
        <f t="shared" si="6"/>
        <v>0</v>
      </c>
      <c r="AD193" s="3">
        <f t="shared" si="7"/>
        <v>1</v>
      </c>
      <c r="AE193" s="3">
        <f t="shared" si="8"/>
        <v>0</v>
      </c>
      <c r="AF193" s="43">
        <f t="shared" si="9"/>
        <v>0</v>
      </c>
      <c r="AG193" s="44">
        <f t="shared" si="10"/>
        <v>0</v>
      </c>
      <c r="AH193" s="45">
        <f t="shared" si="11"/>
        <v>0</v>
      </c>
      <c r="AI193" s="46">
        <f t="shared" si="12"/>
        <v>0</v>
      </c>
      <c r="AJ193" s="47">
        <f t="shared" si="13"/>
        <v>0</v>
      </c>
      <c r="AK193" s="5"/>
      <c r="AL193" s="42">
        <f t="shared" si="14"/>
        <v>1</v>
      </c>
      <c r="AM193" s="3">
        <f t="shared" si="15"/>
        <v>1</v>
      </c>
      <c r="AN193" s="3">
        <f t="shared" si="16"/>
        <v>1</v>
      </c>
      <c r="AO193" s="3">
        <f t="shared" si="17"/>
        <v>4017.08</v>
      </c>
      <c r="AP193" s="44">
        <f t="shared" si="18"/>
        <v>18263</v>
      </c>
      <c r="AQ193" s="48">
        <f t="shared" si="19"/>
        <v>4.7</v>
      </c>
      <c r="AR193" s="46">
        <f t="shared" si="20"/>
        <v>0.003203726271</v>
      </c>
      <c r="AS193" s="47">
        <f t="shared" si="21"/>
        <v>0.001853284514</v>
      </c>
      <c r="AT193" s="5"/>
      <c r="AU193" s="49">
        <f t="shared" si="27"/>
        <v>18263</v>
      </c>
      <c r="AV193" s="50">
        <f t="shared" si="23"/>
        <v>1</v>
      </c>
      <c r="AW193" s="51">
        <f t="shared" si="24"/>
        <v>0.00177193445</v>
      </c>
      <c r="AX193" s="52">
        <f t="shared" si="25"/>
        <v>0.001025024736</v>
      </c>
      <c r="AY193" s="5"/>
      <c r="AZ193" s="53">
        <f t="shared" si="26"/>
        <v>1</v>
      </c>
      <c r="BA193" s="5"/>
      <c r="BB193" s="5"/>
      <c r="BC193" s="5"/>
    </row>
    <row r="194" ht="12.75" customHeight="1">
      <c r="A194" s="25"/>
      <c r="B194" s="27" t="s">
        <v>357</v>
      </c>
      <c r="C194" s="27"/>
      <c r="D194" s="63">
        <v>21583.0</v>
      </c>
      <c r="E194" s="29" t="s">
        <v>49</v>
      </c>
      <c r="F194" s="30">
        <v>40858.0</v>
      </c>
      <c r="G194" s="88" t="s">
        <v>40</v>
      </c>
      <c r="H194" s="30">
        <v>41057.0</v>
      </c>
      <c r="I194" s="32">
        <f t="shared" si="1"/>
        <v>6.633333333</v>
      </c>
      <c r="J194" s="33" t="s">
        <v>129</v>
      </c>
      <c r="K194" s="34">
        <v>25000.0</v>
      </c>
      <c r="L194" s="35">
        <v>2856.9300000000003</v>
      </c>
      <c r="M194" s="35">
        <v>202.0</v>
      </c>
      <c r="N194" s="35">
        <v>210.34</v>
      </c>
      <c r="O194" s="35">
        <f>IF(K194="N/A",0,IF(K194-D194&gt;0,0,D194-K194))</f>
        <v>0</v>
      </c>
      <c r="P194" s="35">
        <f t="shared" si="3"/>
        <v>0</v>
      </c>
      <c r="Q194" s="36">
        <f t="shared" si="4"/>
        <v>0</v>
      </c>
      <c r="R194" s="36">
        <f t="shared" si="5"/>
        <v>1</v>
      </c>
      <c r="S194" s="37"/>
      <c r="T194" s="5"/>
      <c r="U194" s="54"/>
      <c r="V194" s="55"/>
      <c r="W194" s="55"/>
      <c r="X194" s="56"/>
      <c r="Y194" s="55"/>
      <c r="Z194" s="55" t="str">
        <f t="shared" si="43"/>
        <v/>
      </c>
      <c r="AA194" s="57">
        <f t="shared" si="44"/>
        <v>0</v>
      </c>
      <c r="AB194" s="5"/>
      <c r="AC194" s="42">
        <f t="shared" si="6"/>
        <v>1</v>
      </c>
      <c r="AD194" s="3">
        <f t="shared" si="7"/>
        <v>1</v>
      </c>
      <c r="AE194" s="3">
        <f t="shared" si="8"/>
        <v>1</v>
      </c>
      <c r="AF194" s="43">
        <f t="shared" si="9"/>
        <v>412.34</v>
      </c>
      <c r="AG194" s="44">
        <f t="shared" si="10"/>
        <v>21583</v>
      </c>
      <c r="AH194" s="45">
        <f t="shared" si="11"/>
        <v>6.633333333</v>
      </c>
      <c r="AI194" s="46">
        <f t="shared" si="12"/>
        <v>0.004670627108</v>
      </c>
      <c r="AJ194" s="47">
        <f t="shared" si="13"/>
        <v>0</v>
      </c>
      <c r="AK194" s="5"/>
      <c r="AL194" s="42">
        <f t="shared" si="14"/>
        <v>0</v>
      </c>
      <c r="AM194" s="3">
        <f t="shared" si="15"/>
        <v>1</v>
      </c>
      <c r="AN194" s="3">
        <f t="shared" si="16"/>
        <v>0</v>
      </c>
      <c r="AO194" s="3">
        <f t="shared" si="17"/>
        <v>0</v>
      </c>
      <c r="AP194" s="44">
        <f t="shared" si="18"/>
        <v>0</v>
      </c>
      <c r="AQ194" s="48">
        <f t="shared" si="19"/>
        <v>0</v>
      </c>
      <c r="AR194" s="46">
        <f t="shared" si="20"/>
        <v>0</v>
      </c>
      <c r="AS194" s="47">
        <f t="shared" si="21"/>
        <v>0</v>
      </c>
      <c r="AT194" s="5"/>
      <c r="AU194" s="49">
        <f t="shared" si="27"/>
        <v>21583</v>
      </c>
      <c r="AV194" s="50">
        <f t="shared" si="23"/>
        <v>1</v>
      </c>
      <c r="AW194" s="51">
        <f t="shared" si="24"/>
        <v>0.002094051428</v>
      </c>
      <c r="AX194" s="52">
        <f t="shared" si="25"/>
        <v>0</v>
      </c>
      <c r="AY194" s="5"/>
      <c r="AZ194" s="53">
        <f t="shared" si="26"/>
        <v>1</v>
      </c>
      <c r="BA194" s="5"/>
      <c r="BB194" s="5"/>
      <c r="BC194" s="5"/>
    </row>
    <row r="195" ht="12.75" customHeight="1">
      <c r="A195" s="25"/>
      <c r="B195" s="27" t="s">
        <v>358</v>
      </c>
      <c r="C195" s="27"/>
      <c r="D195" s="63">
        <v>14247.0</v>
      </c>
      <c r="E195" s="29" t="s">
        <v>39</v>
      </c>
      <c r="F195" s="30">
        <v>40858.0</v>
      </c>
      <c r="G195" s="32" t="s">
        <v>40</v>
      </c>
      <c r="H195" s="30">
        <v>41182.0</v>
      </c>
      <c r="I195" s="32">
        <f t="shared" si="1"/>
        <v>10.8</v>
      </c>
      <c r="J195" s="33" t="s">
        <v>359</v>
      </c>
      <c r="K195" s="34">
        <v>23000.0</v>
      </c>
      <c r="L195" s="35">
        <v>1274.7</v>
      </c>
      <c r="M195" s="35">
        <v>2214.64</v>
      </c>
      <c r="N195" s="35">
        <v>18.96</v>
      </c>
      <c r="O195" s="35">
        <v>0.0</v>
      </c>
      <c r="P195" s="35">
        <f t="shared" si="3"/>
        <v>0</v>
      </c>
      <c r="Q195" s="36">
        <f t="shared" si="4"/>
        <v>0</v>
      </c>
      <c r="R195" s="36">
        <f t="shared" si="5"/>
        <v>1</v>
      </c>
      <c r="S195" s="37"/>
      <c r="T195" s="5"/>
      <c r="U195" s="54"/>
      <c r="V195" s="55"/>
      <c r="W195" s="55"/>
      <c r="X195" s="56"/>
      <c r="Y195" s="55"/>
      <c r="Z195" s="55" t="str">
        <f t="shared" si="43"/>
        <v/>
      </c>
      <c r="AA195" s="57">
        <f t="shared" si="44"/>
        <v>0</v>
      </c>
      <c r="AB195" s="5"/>
      <c r="AC195" s="42">
        <f t="shared" si="6"/>
        <v>0</v>
      </c>
      <c r="AD195" s="3">
        <f t="shared" si="7"/>
        <v>1</v>
      </c>
      <c r="AE195" s="3">
        <f t="shared" si="8"/>
        <v>0</v>
      </c>
      <c r="AF195" s="43">
        <f t="shared" si="9"/>
        <v>0</v>
      </c>
      <c r="AG195" s="44">
        <f t="shared" si="10"/>
        <v>0</v>
      </c>
      <c r="AH195" s="45">
        <f t="shared" si="11"/>
        <v>0</v>
      </c>
      <c r="AI195" s="46">
        <f t="shared" si="12"/>
        <v>0</v>
      </c>
      <c r="AJ195" s="47">
        <f t="shared" si="13"/>
        <v>0</v>
      </c>
      <c r="AK195" s="5"/>
      <c r="AL195" s="42">
        <f t="shared" si="14"/>
        <v>1</v>
      </c>
      <c r="AM195" s="3">
        <f t="shared" si="15"/>
        <v>1</v>
      </c>
      <c r="AN195" s="3">
        <f t="shared" si="16"/>
        <v>1</v>
      </c>
      <c r="AO195" s="3">
        <f t="shared" si="17"/>
        <v>2233.6</v>
      </c>
      <c r="AP195" s="44">
        <f t="shared" si="18"/>
        <v>14247</v>
      </c>
      <c r="AQ195" s="48">
        <f t="shared" si="19"/>
        <v>10.8</v>
      </c>
      <c r="AR195" s="46">
        <f t="shared" si="20"/>
        <v>0.002499232776</v>
      </c>
      <c r="AS195" s="47">
        <f t="shared" si="21"/>
        <v>0</v>
      </c>
      <c r="AT195" s="5"/>
      <c r="AU195" s="49">
        <f t="shared" si="27"/>
        <v>14247</v>
      </c>
      <c r="AV195" s="50">
        <f t="shared" si="23"/>
        <v>1</v>
      </c>
      <c r="AW195" s="51">
        <f t="shared" si="24"/>
        <v>0.001382289334</v>
      </c>
      <c r="AX195" s="52">
        <f t="shared" si="25"/>
        <v>0</v>
      </c>
      <c r="AY195" s="5"/>
      <c r="AZ195" s="53">
        <f t="shared" si="26"/>
        <v>1</v>
      </c>
      <c r="BA195" s="5"/>
      <c r="BB195" s="5"/>
      <c r="BC195" s="5"/>
    </row>
    <row r="196" ht="12.75" customHeight="1">
      <c r="A196" s="25"/>
      <c r="B196" s="27" t="s">
        <v>360</v>
      </c>
      <c r="C196" s="27"/>
      <c r="D196" s="63">
        <v>9866.0</v>
      </c>
      <c r="E196" s="29" t="s">
        <v>49</v>
      </c>
      <c r="F196" s="30">
        <v>40858.0</v>
      </c>
      <c r="G196" s="32" t="s">
        <v>40</v>
      </c>
      <c r="H196" s="30">
        <v>41191.0</v>
      </c>
      <c r="I196" s="32">
        <f t="shared" si="1"/>
        <v>11.1</v>
      </c>
      <c r="J196" s="33" t="s">
        <v>361</v>
      </c>
      <c r="K196" s="34">
        <v>8000.0</v>
      </c>
      <c r="L196" s="35">
        <v>698.56</v>
      </c>
      <c r="M196" s="35">
        <v>2919.59</v>
      </c>
      <c r="N196" s="35">
        <v>382.35</v>
      </c>
      <c r="O196" s="35">
        <f t="shared" ref="O196:O197" si="54">IF(K196="N/A",0,IF(K196-D196&gt;0,0,D196-K196))</f>
        <v>1866</v>
      </c>
      <c r="P196" s="35">
        <f t="shared" si="3"/>
        <v>5866.5</v>
      </c>
      <c r="Q196" s="36">
        <f t="shared" si="4"/>
        <v>0.5946178796</v>
      </c>
      <c r="R196" s="36">
        <f t="shared" si="5"/>
        <v>0.4053821204</v>
      </c>
      <c r="S196" s="37"/>
      <c r="T196" s="5"/>
      <c r="U196" s="54"/>
      <c r="V196" s="55"/>
      <c r="W196" s="55"/>
      <c r="X196" s="56"/>
      <c r="Y196" s="55"/>
      <c r="Z196" s="55" t="str">
        <f t="shared" si="43"/>
        <v/>
      </c>
      <c r="AA196" s="57">
        <f t="shared" si="44"/>
        <v>0</v>
      </c>
      <c r="AB196" s="5"/>
      <c r="AC196" s="42">
        <f t="shared" si="6"/>
        <v>1</v>
      </c>
      <c r="AD196" s="3">
        <f t="shared" si="7"/>
        <v>1</v>
      </c>
      <c r="AE196" s="3">
        <f t="shared" si="8"/>
        <v>1</v>
      </c>
      <c r="AF196" s="43">
        <f t="shared" si="9"/>
        <v>3301.94</v>
      </c>
      <c r="AG196" s="44">
        <f t="shared" si="10"/>
        <v>9866</v>
      </c>
      <c r="AH196" s="45">
        <f t="shared" si="11"/>
        <v>11.1</v>
      </c>
      <c r="AI196" s="46">
        <f t="shared" si="12"/>
        <v>0.002135032528</v>
      </c>
      <c r="AJ196" s="47">
        <f t="shared" si="13"/>
        <v>0.001269528515</v>
      </c>
      <c r="AK196" s="5"/>
      <c r="AL196" s="42">
        <f t="shared" si="14"/>
        <v>0</v>
      </c>
      <c r="AM196" s="3">
        <f t="shared" si="15"/>
        <v>1</v>
      </c>
      <c r="AN196" s="3">
        <f t="shared" si="16"/>
        <v>0</v>
      </c>
      <c r="AO196" s="3">
        <f t="shared" si="17"/>
        <v>0</v>
      </c>
      <c r="AP196" s="44">
        <f t="shared" si="18"/>
        <v>0</v>
      </c>
      <c r="AQ196" s="48">
        <f t="shared" si="19"/>
        <v>0</v>
      </c>
      <c r="AR196" s="46">
        <f t="shared" si="20"/>
        <v>0</v>
      </c>
      <c r="AS196" s="47">
        <f t="shared" si="21"/>
        <v>0</v>
      </c>
      <c r="AT196" s="5"/>
      <c r="AU196" s="49">
        <f t="shared" si="27"/>
        <v>9866</v>
      </c>
      <c r="AV196" s="50">
        <f t="shared" si="23"/>
        <v>1</v>
      </c>
      <c r="AW196" s="51">
        <f t="shared" si="24"/>
        <v>0.0009572307552</v>
      </c>
      <c r="AX196" s="52">
        <f t="shared" si="25"/>
        <v>0.0005691865219</v>
      </c>
      <c r="AY196" s="5"/>
      <c r="AZ196" s="53">
        <f t="shared" si="26"/>
        <v>1</v>
      </c>
      <c r="BA196" s="5"/>
      <c r="BB196" s="5"/>
      <c r="BC196" s="5"/>
    </row>
    <row r="197" ht="12.75" customHeight="1">
      <c r="A197" s="25"/>
      <c r="B197" s="27" t="s">
        <v>362</v>
      </c>
      <c r="C197" s="27"/>
      <c r="D197" s="63">
        <v>19948.51</v>
      </c>
      <c r="E197" s="29" t="s">
        <v>49</v>
      </c>
      <c r="F197" s="30">
        <v>40858.0</v>
      </c>
      <c r="G197" s="67" t="s">
        <v>40</v>
      </c>
      <c r="H197" s="30">
        <v>41455.0</v>
      </c>
      <c r="I197" s="32">
        <f t="shared" si="1"/>
        <v>19.9</v>
      </c>
      <c r="J197" s="33" t="s">
        <v>363</v>
      </c>
      <c r="K197" s="34">
        <v>21000.0</v>
      </c>
      <c r="L197" s="112">
        <v>1106.5</v>
      </c>
      <c r="M197" s="35">
        <v>1730.13</v>
      </c>
      <c r="N197" s="35">
        <v>0.0</v>
      </c>
      <c r="O197" s="35">
        <f t="shared" si="54"/>
        <v>0</v>
      </c>
      <c r="P197" s="35">
        <f t="shared" si="3"/>
        <v>1785.14</v>
      </c>
      <c r="Q197" s="36">
        <f t="shared" si="4"/>
        <v>0.08948738527</v>
      </c>
      <c r="R197" s="36">
        <f t="shared" si="5"/>
        <v>0.9105126147</v>
      </c>
      <c r="S197" s="37"/>
      <c r="T197" s="5"/>
      <c r="U197" s="54">
        <v>171.93</v>
      </c>
      <c r="V197" s="55">
        <v>3567.76</v>
      </c>
      <c r="W197" s="55">
        <f>U197+V197</f>
        <v>3739.69</v>
      </c>
      <c r="X197" s="56">
        <v>0.095</v>
      </c>
      <c r="Y197" s="55">
        <f>((X197*D197)/365)*180</f>
        <v>934.5740301</v>
      </c>
      <c r="Z197" s="55">
        <f t="shared" si="43"/>
        <v>934.5740301</v>
      </c>
      <c r="AA197" s="57">
        <f t="shared" si="44"/>
        <v>1106.50403</v>
      </c>
      <c r="AB197" s="5"/>
      <c r="AC197" s="42">
        <f t="shared" si="6"/>
        <v>1</v>
      </c>
      <c r="AD197" s="3">
        <f t="shared" si="7"/>
        <v>1</v>
      </c>
      <c r="AE197" s="3">
        <f t="shared" si="8"/>
        <v>1</v>
      </c>
      <c r="AF197" s="43">
        <f t="shared" si="9"/>
        <v>1730.13</v>
      </c>
      <c r="AG197" s="44">
        <f t="shared" si="10"/>
        <v>19948.51</v>
      </c>
      <c r="AH197" s="45">
        <f t="shared" si="11"/>
        <v>19.9</v>
      </c>
      <c r="AI197" s="46">
        <f t="shared" si="12"/>
        <v>0.004316918481</v>
      </c>
      <c r="AJ197" s="47">
        <f t="shared" si="13"/>
        <v>0.0003863097473</v>
      </c>
      <c r="AK197" s="5"/>
      <c r="AL197" s="42">
        <f t="shared" si="14"/>
        <v>0</v>
      </c>
      <c r="AM197" s="3">
        <f t="shared" si="15"/>
        <v>1</v>
      </c>
      <c r="AN197" s="3">
        <f t="shared" si="16"/>
        <v>0</v>
      </c>
      <c r="AO197" s="3">
        <f t="shared" si="17"/>
        <v>0</v>
      </c>
      <c r="AP197" s="44">
        <f t="shared" si="18"/>
        <v>0</v>
      </c>
      <c r="AQ197" s="48">
        <f t="shared" si="19"/>
        <v>0</v>
      </c>
      <c r="AR197" s="46">
        <f t="shared" si="20"/>
        <v>0</v>
      </c>
      <c r="AS197" s="47">
        <f t="shared" si="21"/>
        <v>0</v>
      </c>
      <c r="AT197" s="5"/>
      <c r="AU197" s="49">
        <f t="shared" si="27"/>
        <v>19948.51</v>
      </c>
      <c r="AV197" s="50">
        <f t="shared" si="23"/>
        <v>1</v>
      </c>
      <c r="AW197" s="51">
        <f t="shared" si="24"/>
        <v>0.001935468</v>
      </c>
      <c r="AX197" s="52">
        <f t="shared" si="25"/>
        <v>0.0001731999706</v>
      </c>
      <c r="AY197" s="5"/>
      <c r="AZ197" s="53">
        <f t="shared" si="26"/>
        <v>1</v>
      </c>
      <c r="BA197" s="5"/>
      <c r="BB197" s="5"/>
      <c r="BC197" s="5"/>
    </row>
    <row r="198" ht="12.75" customHeight="1">
      <c r="A198" s="25"/>
      <c r="B198" s="27" t="s">
        <v>364</v>
      </c>
      <c r="C198" s="27"/>
      <c r="D198" s="63">
        <v>24240.09</v>
      </c>
      <c r="E198" s="29" t="s">
        <v>39</v>
      </c>
      <c r="F198" s="30">
        <v>40896.0</v>
      </c>
      <c r="G198" s="31" t="s">
        <v>40</v>
      </c>
      <c r="H198" s="30">
        <v>40968.0</v>
      </c>
      <c r="I198" s="32">
        <f t="shared" si="1"/>
        <v>2.4</v>
      </c>
      <c r="J198" s="33" t="s">
        <v>289</v>
      </c>
      <c r="K198" s="34">
        <v>25000.0</v>
      </c>
      <c r="L198" s="35">
        <v>14800.59</v>
      </c>
      <c r="M198" s="35">
        <v>8122.0199999999995</v>
      </c>
      <c r="N198" s="35">
        <v>126.07000000000001</v>
      </c>
      <c r="O198" s="35">
        <v>752.79</v>
      </c>
      <c r="P198" s="35">
        <f t="shared" si="3"/>
        <v>22288.77</v>
      </c>
      <c r="Q198" s="36">
        <f t="shared" si="4"/>
        <v>0.9195002989</v>
      </c>
      <c r="R198" s="36">
        <f t="shared" si="5"/>
        <v>0.08049970111</v>
      </c>
      <c r="S198" s="37"/>
      <c r="T198" s="5"/>
      <c r="U198" s="54"/>
      <c r="V198" s="55"/>
      <c r="W198" s="55"/>
      <c r="X198" s="56"/>
      <c r="Y198" s="55"/>
      <c r="Z198" s="55" t="str">
        <f t="shared" si="43"/>
        <v/>
      </c>
      <c r="AA198" s="57">
        <f t="shared" si="44"/>
        <v>0</v>
      </c>
      <c r="AB198" s="5"/>
      <c r="AC198" s="42">
        <f t="shared" si="6"/>
        <v>0</v>
      </c>
      <c r="AD198" s="3">
        <f t="shared" si="7"/>
        <v>1</v>
      </c>
      <c r="AE198" s="3">
        <f t="shared" si="8"/>
        <v>0</v>
      </c>
      <c r="AF198" s="43">
        <f t="shared" si="9"/>
        <v>0</v>
      </c>
      <c r="AG198" s="44">
        <f t="shared" si="10"/>
        <v>0</v>
      </c>
      <c r="AH198" s="45">
        <f t="shared" si="11"/>
        <v>0</v>
      </c>
      <c r="AI198" s="46">
        <f t="shared" si="12"/>
        <v>0</v>
      </c>
      <c r="AJ198" s="47">
        <f t="shared" si="13"/>
        <v>0</v>
      </c>
      <c r="AK198" s="5"/>
      <c r="AL198" s="42">
        <f t="shared" si="14"/>
        <v>1</v>
      </c>
      <c r="AM198" s="3">
        <f t="shared" si="15"/>
        <v>1</v>
      </c>
      <c r="AN198" s="3">
        <f t="shared" si="16"/>
        <v>1</v>
      </c>
      <c r="AO198" s="3">
        <f t="shared" si="17"/>
        <v>8248.09</v>
      </c>
      <c r="AP198" s="44">
        <f t="shared" si="18"/>
        <v>24240.09</v>
      </c>
      <c r="AQ198" s="48">
        <f t="shared" si="19"/>
        <v>2.4</v>
      </c>
      <c r="AR198" s="46">
        <f t="shared" si="20"/>
        <v>0.004252237483</v>
      </c>
      <c r="AS198" s="47">
        <f t="shared" si="21"/>
        <v>0.003909933636</v>
      </c>
      <c r="AT198" s="5"/>
      <c r="AU198" s="49">
        <f t="shared" si="27"/>
        <v>24240.09</v>
      </c>
      <c r="AV198" s="50">
        <f t="shared" si="23"/>
        <v>1</v>
      </c>
      <c r="AW198" s="51">
        <f t="shared" si="24"/>
        <v>0.002351850766</v>
      </c>
      <c r="AX198" s="52">
        <f t="shared" si="25"/>
        <v>0.002162527482</v>
      </c>
      <c r="AY198" s="5"/>
      <c r="AZ198" s="53">
        <f t="shared" si="26"/>
        <v>1</v>
      </c>
      <c r="BA198" s="5"/>
      <c r="BB198" s="5"/>
      <c r="BC198" s="5"/>
    </row>
    <row r="199" ht="12.75" customHeight="1">
      <c r="A199" s="25"/>
      <c r="B199" s="27" t="s">
        <v>365</v>
      </c>
      <c r="C199" s="27"/>
      <c r="D199" s="63">
        <v>17336.71</v>
      </c>
      <c r="E199" s="29" t="s">
        <v>39</v>
      </c>
      <c r="F199" s="30">
        <v>40908.0</v>
      </c>
      <c r="G199" s="31" t="s">
        <v>40</v>
      </c>
      <c r="H199" s="30">
        <v>40999.0</v>
      </c>
      <c r="I199" s="32">
        <f t="shared" si="1"/>
        <v>3.033333333</v>
      </c>
      <c r="J199" s="33" t="s">
        <v>366</v>
      </c>
      <c r="K199" s="34">
        <v>17000.0</v>
      </c>
      <c r="L199" s="35">
        <v>3020.2200000000003</v>
      </c>
      <c r="M199" s="35">
        <v>1547.18</v>
      </c>
      <c r="N199" s="35">
        <v>262.25</v>
      </c>
      <c r="O199" s="35">
        <v>1450.26</v>
      </c>
      <c r="P199" s="35">
        <f t="shared" si="3"/>
        <v>5166.36</v>
      </c>
      <c r="Q199" s="36">
        <f t="shared" si="4"/>
        <v>0.2980011778</v>
      </c>
      <c r="R199" s="36">
        <f t="shared" si="5"/>
        <v>0.7019988222</v>
      </c>
      <c r="S199" s="37"/>
      <c r="T199" s="5"/>
      <c r="U199" s="54"/>
      <c r="V199" s="55"/>
      <c r="W199" s="55"/>
      <c r="X199" s="56"/>
      <c r="Y199" s="55"/>
      <c r="Z199" s="55" t="str">
        <f t="shared" si="43"/>
        <v/>
      </c>
      <c r="AA199" s="57">
        <f t="shared" si="44"/>
        <v>0</v>
      </c>
      <c r="AB199" s="5"/>
      <c r="AC199" s="42">
        <f t="shared" si="6"/>
        <v>0</v>
      </c>
      <c r="AD199" s="3">
        <f t="shared" si="7"/>
        <v>1</v>
      </c>
      <c r="AE199" s="3">
        <f t="shared" si="8"/>
        <v>0</v>
      </c>
      <c r="AF199" s="43">
        <f t="shared" si="9"/>
        <v>0</v>
      </c>
      <c r="AG199" s="44">
        <f t="shared" si="10"/>
        <v>0</v>
      </c>
      <c r="AH199" s="45">
        <f t="shared" si="11"/>
        <v>0</v>
      </c>
      <c r="AI199" s="46">
        <f t="shared" si="12"/>
        <v>0</v>
      </c>
      <c r="AJ199" s="47">
        <f t="shared" si="13"/>
        <v>0</v>
      </c>
      <c r="AK199" s="5"/>
      <c r="AL199" s="42">
        <f t="shared" si="14"/>
        <v>1</v>
      </c>
      <c r="AM199" s="3">
        <f t="shared" si="15"/>
        <v>1</v>
      </c>
      <c r="AN199" s="3">
        <f t="shared" si="16"/>
        <v>1</v>
      </c>
      <c r="AO199" s="3">
        <f t="shared" si="17"/>
        <v>1809.43</v>
      </c>
      <c r="AP199" s="44">
        <f t="shared" si="18"/>
        <v>17336.71</v>
      </c>
      <c r="AQ199" s="48">
        <f t="shared" si="19"/>
        <v>3.033333333</v>
      </c>
      <c r="AR199" s="46">
        <f t="shared" si="20"/>
        <v>0.003041234916</v>
      </c>
      <c r="AS199" s="47">
        <f t="shared" si="21"/>
        <v>0.0009062915872</v>
      </c>
      <c r="AT199" s="5"/>
      <c r="AU199" s="49">
        <f t="shared" si="27"/>
        <v>17336.71</v>
      </c>
      <c r="AV199" s="50">
        <f t="shared" si="23"/>
        <v>1</v>
      </c>
      <c r="AW199" s="51">
        <f t="shared" si="24"/>
        <v>0.001682062843</v>
      </c>
      <c r="AX199" s="52">
        <f t="shared" si="25"/>
        <v>0.0005012567083</v>
      </c>
      <c r="AY199" s="5"/>
      <c r="AZ199" s="53">
        <f t="shared" si="26"/>
        <v>1</v>
      </c>
      <c r="BA199" s="5"/>
      <c r="BB199" s="5"/>
      <c r="BC199" s="5"/>
    </row>
    <row r="200" ht="12.75" customHeight="1">
      <c r="A200" s="25"/>
      <c r="B200" s="27" t="s">
        <v>367</v>
      </c>
      <c r="C200" s="27"/>
      <c r="D200" s="63">
        <v>11891.13</v>
      </c>
      <c r="E200" s="29" t="s">
        <v>39</v>
      </c>
      <c r="F200" s="30">
        <v>40936.0</v>
      </c>
      <c r="G200" s="30" t="s">
        <v>40</v>
      </c>
      <c r="H200" s="30">
        <v>41057.0</v>
      </c>
      <c r="I200" s="32">
        <f t="shared" si="1"/>
        <v>4.033333333</v>
      </c>
      <c r="J200" s="33" t="s">
        <v>129</v>
      </c>
      <c r="K200" s="34">
        <v>8935.0</v>
      </c>
      <c r="L200" s="35">
        <v>527.44</v>
      </c>
      <c r="M200" s="35">
        <v>5317.83</v>
      </c>
      <c r="N200" s="35">
        <v>115.61</v>
      </c>
      <c r="O200" s="35">
        <f t="shared" ref="O200:O202" si="55">IF(K200="N/A",0,IF(K200-D200&gt;0,0,D200-K200))</f>
        <v>2956.13</v>
      </c>
      <c r="P200" s="35">
        <f t="shared" si="3"/>
        <v>8917.01</v>
      </c>
      <c r="Q200" s="36">
        <f t="shared" si="4"/>
        <v>0.7498875212</v>
      </c>
      <c r="R200" s="36">
        <f t="shared" si="5"/>
        <v>0.2501124788</v>
      </c>
      <c r="S200" s="37"/>
      <c r="T200" s="5"/>
      <c r="U200" s="54"/>
      <c r="V200" s="55"/>
      <c r="W200" s="55"/>
      <c r="X200" s="56"/>
      <c r="Y200" s="55"/>
      <c r="Z200" s="55" t="str">
        <f t="shared" si="43"/>
        <v/>
      </c>
      <c r="AA200" s="57">
        <f t="shared" si="44"/>
        <v>0</v>
      </c>
      <c r="AB200" s="5"/>
      <c r="AC200" s="42">
        <f t="shared" si="6"/>
        <v>0</v>
      </c>
      <c r="AD200" s="3">
        <f t="shared" si="7"/>
        <v>1</v>
      </c>
      <c r="AE200" s="3">
        <f t="shared" si="8"/>
        <v>0</v>
      </c>
      <c r="AF200" s="43">
        <f t="shared" si="9"/>
        <v>0</v>
      </c>
      <c r="AG200" s="44">
        <f t="shared" si="10"/>
        <v>0</v>
      </c>
      <c r="AH200" s="45">
        <f t="shared" si="11"/>
        <v>0</v>
      </c>
      <c r="AI200" s="46">
        <f t="shared" si="12"/>
        <v>0</v>
      </c>
      <c r="AJ200" s="47">
        <f t="shared" si="13"/>
        <v>0</v>
      </c>
      <c r="AK200" s="5"/>
      <c r="AL200" s="42">
        <f t="shared" si="14"/>
        <v>1</v>
      </c>
      <c r="AM200" s="3">
        <f t="shared" si="15"/>
        <v>1</v>
      </c>
      <c r="AN200" s="3">
        <f t="shared" si="16"/>
        <v>1</v>
      </c>
      <c r="AO200" s="3">
        <f t="shared" si="17"/>
        <v>5433.44</v>
      </c>
      <c r="AP200" s="44">
        <f t="shared" si="18"/>
        <v>11891.13</v>
      </c>
      <c r="AQ200" s="48">
        <f t="shared" si="19"/>
        <v>4.033333333</v>
      </c>
      <c r="AR200" s="46">
        <f t="shared" si="20"/>
        <v>0.002085962086</v>
      </c>
      <c r="AS200" s="47">
        <f t="shared" si="21"/>
        <v>0.001564236938</v>
      </c>
      <c r="AT200" s="5"/>
      <c r="AU200" s="49">
        <f t="shared" si="27"/>
        <v>11891.13</v>
      </c>
      <c r="AV200" s="50">
        <f t="shared" si="23"/>
        <v>1</v>
      </c>
      <c r="AW200" s="51">
        <f t="shared" si="24"/>
        <v>0.00115371532</v>
      </c>
      <c r="AX200" s="52">
        <f t="shared" si="25"/>
        <v>0.0008651567217</v>
      </c>
      <c r="AY200" s="5"/>
      <c r="AZ200" s="53">
        <f t="shared" si="26"/>
        <v>1</v>
      </c>
      <c r="BA200" s="5"/>
      <c r="BB200" s="5"/>
      <c r="BC200" s="5"/>
    </row>
    <row r="201" ht="12.75" customHeight="1">
      <c r="A201" s="25"/>
      <c r="B201" s="27" t="s">
        <v>368</v>
      </c>
      <c r="C201" s="27"/>
      <c r="D201" s="63">
        <v>18585.31</v>
      </c>
      <c r="E201" s="29" t="s">
        <v>39</v>
      </c>
      <c r="F201" s="30">
        <v>40936.0</v>
      </c>
      <c r="G201" s="31" t="s">
        <v>40</v>
      </c>
      <c r="H201" s="30">
        <v>41133.0</v>
      </c>
      <c r="I201" s="32">
        <f t="shared" si="1"/>
        <v>6.566666667</v>
      </c>
      <c r="J201" s="33" t="s">
        <v>369</v>
      </c>
      <c r="K201" s="34">
        <v>16500.0</v>
      </c>
      <c r="L201" s="35">
        <v>3231.26</v>
      </c>
      <c r="M201" s="35">
        <v>19496.799999999996</v>
      </c>
      <c r="N201" s="35">
        <v>625.4300000000001</v>
      </c>
      <c r="O201" s="35">
        <f t="shared" si="55"/>
        <v>2085.31</v>
      </c>
      <c r="P201" s="35">
        <f t="shared" si="3"/>
        <v>25438.8</v>
      </c>
      <c r="Q201" s="36">
        <f t="shared" si="4"/>
        <v>1.368758444</v>
      </c>
      <c r="R201" s="36">
        <f t="shared" si="5"/>
        <v>0</v>
      </c>
      <c r="S201" s="37"/>
      <c r="T201" s="5"/>
      <c r="U201" s="54"/>
      <c r="V201" s="55"/>
      <c r="W201" s="55"/>
      <c r="X201" s="56"/>
      <c r="Y201" s="55"/>
      <c r="Z201" s="55" t="str">
        <f t="shared" si="43"/>
        <v/>
      </c>
      <c r="AA201" s="57">
        <f t="shared" si="44"/>
        <v>0</v>
      </c>
      <c r="AB201" s="5"/>
      <c r="AC201" s="42">
        <f t="shared" si="6"/>
        <v>0</v>
      </c>
      <c r="AD201" s="3">
        <f t="shared" si="7"/>
        <v>1</v>
      </c>
      <c r="AE201" s="3">
        <f t="shared" si="8"/>
        <v>0</v>
      </c>
      <c r="AF201" s="43">
        <f t="shared" si="9"/>
        <v>0</v>
      </c>
      <c r="AG201" s="44">
        <f t="shared" si="10"/>
        <v>0</v>
      </c>
      <c r="AH201" s="45">
        <f t="shared" si="11"/>
        <v>0</v>
      </c>
      <c r="AI201" s="46">
        <f t="shared" si="12"/>
        <v>0</v>
      </c>
      <c r="AJ201" s="47">
        <f t="shared" si="13"/>
        <v>0</v>
      </c>
      <c r="AK201" s="5"/>
      <c r="AL201" s="42">
        <f t="shared" si="14"/>
        <v>1</v>
      </c>
      <c r="AM201" s="3">
        <f t="shared" si="15"/>
        <v>1</v>
      </c>
      <c r="AN201" s="3">
        <f t="shared" si="16"/>
        <v>1</v>
      </c>
      <c r="AO201" s="3">
        <f t="shared" si="17"/>
        <v>20122.23</v>
      </c>
      <c r="AP201" s="44">
        <f t="shared" si="18"/>
        <v>18585.31</v>
      </c>
      <c r="AQ201" s="48">
        <f t="shared" si="19"/>
        <v>6.566666667</v>
      </c>
      <c r="AR201" s="46">
        <f t="shared" si="20"/>
        <v>0.003260266435</v>
      </c>
      <c r="AS201" s="47">
        <f t="shared" si="21"/>
        <v>0.004462517213</v>
      </c>
      <c r="AT201" s="5"/>
      <c r="AU201" s="49">
        <f t="shared" si="27"/>
        <v>18585.31</v>
      </c>
      <c r="AV201" s="50">
        <f t="shared" si="23"/>
        <v>1</v>
      </c>
      <c r="AW201" s="51">
        <f t="shared" si="24"/>
        <v>0.001803205993</v>
      </c>
      <c r="AX201" s="52">
        <f t="shared" si="25"/>
        <v>0.00246815343</v>
      </c>
      <c r="AY201" s="5"/>
      <c r="AZ201" s="53">
        <f t="shared" si="26"/>
        <v>1</v>
      </c>
      <c r="BA201" s="5"/>
      <c r="BB201" s="5"/>
      <c r="BC201" s="5"/>
    </row>
    <row r="202" ht="12.75" customHeight="1">
      <c r="A202" s="25"/>
      <c r="B202" s="27" t="s">
        <v>370</v>
      </c>
      <c r="C202" s="27"/>
      <c r="D202" s="63">
        <v>12579.04</v>
      </c>
      <c r="E202" s="29" t="s">
        <v>39</v>
      </c>
      <c r="F202" s="30">
        <v>40961.0</v>
      </c>
      <c r="G202" s="31" t="s">
        <v>40</v>
      </c>
      <c r="H202" s="30">
        <v>41117.0</v>
      </c>
      <c r="I202" s="32">
        <f t="shared" si="1"/>
        <v>5.2</v>
      </c>
      <c r="J202" s="33" t="s">
        <v>371</v>
      </c>
      <c r="K202" s="34">
        <v>13000.0</v>
      </c>
      <c r="L202" s="35">
        <v>1924.6299999999999</v>
      </c>
      <c r="M202" s="35">
        <v>790.9100000000001</v>
      </c>
      <c r="N202" s="35">
        <v>19.33</v>
      </c>
      <c r="O202" s="35">
        <f t="shared" si="55"/>
        <v>0</v>
      </c>
      <c r="P202" s="35">
        <f t="shared" si="3"/>
        <v>2313.91</v>
      </c>
      <c r="Q202" s="36">
        <f t="shared" si="4"/>
        <v>0.1839496496</v>
      </c>
      <c r="R202" s="36">
        <f t="shared" si="5"/>
        <v>0.8160503504</v>
      </c>
      <c r="S202" s="37"/>
      <c r="T202" s="5"/>
      <c r="U202" s="54"/>
      <c r="V202" s="55"/>
      <c r="W202" s="55"/>
      <c r="X202" s="56"/>
      <c r="Y202" s="55"/>
      <c r="Z202" s="55" t="str">
        <f t="shared" si="43"/>
        <v/>
      </c>
      <c r="AA202" s="57">
        <f t="shared" si="44"/>
        <v>0</v>
      </c>
      <c r="AB202" s="5"/>
      <c r="AC202" s="42">
        <f t="shared" si="6"/>
        <v>0</v>
      </c>
      <c r="AD202" s="3">
        <f t="shared" si="7"/>
        <v>1</v>
      </c>
      <c r="AE202" s="3">
        <f t="shared" si="8"/>
        <v>0</v>
      </c>
      <c r="AF202" s="43">
        <f t="shared" si="9"/>
        <v>0</v>
      </c>
      <c r="AG202" s="44">
        <f t="shared" si="10"/>
        <v>0</v>
      </c>
      <c r="AH202" s="45">
        <f t="shared" si="11"/>
        <v>0</v>
      </c>
      <c r="AI202" s="46">
        <f t="shared" si="12"/>
        <v>0</v>
      </c>
      <c r="AJ202" s="47">
        <f t="shared" si="13"/>
        <v>0</v>
      </c>
      <c r="AK202" s="5"/>
      <c r="AL202" s="42">
        <f t="shared" si="14"/>
        <v>1</v>
      </c>
      <c r="AM202" s="3">
        <f t="shared" si="15"/>
        <v>1</v>
      </c>
      <c r="AN202" s="3">
        <f t="shared" si="16"/>
        <v>1</v>
      </c>
      <c r="AO202" s="3">
        <f t="shared" si="17"/>
        <v>810.24</v>
      </c>
      <c r="AP202" s="44">
        <f t="shared" si="18"/>
        <v>12579.04</v>
      </c>
      <c r="AQ202" s="48">
        <f t="shared" si="19"/>
        <v>5.2</v>
      </c>
      <c r="AR202" s="46">
        <f t="shared" si="20"/>
        <v>0.002206636419</v>
      </c>
      <c r="AS202" s="47">
        <f t="shared" si="21"/>
        <v>0.0004059099959</v>
      </c>
      <c r="AT202" s="5"/>
      <c r="AU202" s="49">
        <f t="shared" si="27"/>
        <v>12579.04</v>
      </c>
      <c r="AV202" s="50">
        <f t="shared" si="23"/>
        <v>1</v>
      </c>
      <c r="AW202" s="51">
        <f t="shared" si="24"/>
        <v>0.00122045854</v>
      </c>
      <c r="AX202" s="52">
        <f t="shared" si="25"/>
        <v>0.0002245029208</v>
      </c>
      <c r="AY202" s="5"/>
      <c r="AZ202" s="53">
        <f t="shared" si="26"/>
        <v>1</v>
      </c>
      <c r="BA202" s="5"/>
      <c r="BB202" s="5"/>
      <c r="BC202" s="5"/>
    </row>
    <row r="203" ht="12.75" customHeight="1">
      <c r="A203" s="69"/>
      <c r="B203" s="27" t="s">
        <v>372</v>
      </c>
      <c r="C203" s="27"/>
      <c r="D203" s="63">
        <v>24590.24</v>
      </c>
      <c r="E203" s="29" t="s">
        <v>39</v>
      </c>
      <c r="F203" s="30">
        <v>40967.0</v>
      </c>
      <c r="G203" s="31" t="s">
        <v>40</v>
      </c>
      <c r="H203" s="30">
        <v>40967.0</v>
      </c>
      <c r="I203" s="32">
        <f t="shared" si="1"/>
        <v>0</v>
      </c>
      <c r="J203" s="33" t="s">
        <v>373</v>
      </c>
      <c r="K203" s="34">
        <v>27000.0</v>
      </c>
      <c r="L203" s="35">
        <v>0.0</v>
      </c>
      <c r="M203" s="35">
        <v>0.0</v>
      </c>
      <c r="N203" s="35">
        <v>0.0</v>
      </c>
      <c r="O203" s="35">
        <v>840.24</v>
      </c>
      <c r="P203" s="35">
        <f t="shared" si="3"/>
        <v>0</v>
      </c>
      <c r="Q203" s="36">
        <f t="shared" si="4"/>
        <v>0</v>
      </c>
      <c r="R203" s="36">
        <f t="shared" si="5"/>
        <v>1</v>
      </c>
      <c r="S203" s="37"/>
      <c r="T203" s="5"/>
      <c r="U203" s="54"/>
      <c r="V203" s="55"/>
      <c r="W203" s="55"/>
      <c r="X203" s="56"/>
      <c r="Y203" s="55"/>
      <c r="Z203" s="55" t="str">
        <f t="shared" si="43"/>
        <v/>
      </c>
      <c r="AA203" s="57">
        <f t="shared" si="44"/>
        <v>0</v>
      </c>
      <c r="AB203" s="5"/>
      <c r="AC203" s="42">
        <f t="shared" si="6"/>
        <v>0</v>
      </c>
      <c r="AD203" s="3">
        <f t="shared" si="7"/>
        <v>1</v>
      </c>
      <c r="AE203" s="3">
        <f t="shared" si="8"/>
        <v>0</v>
      </c>
      <c r="AF203" s="43">
        <f t="shared" si="9"/>
        <v>0</v>
      </c>
      <c r="AG203" s="44">
        <f t="shared" si="10"/>
        <v>0</v>
      </c>
      <c r="AH203" s="45">
        <f t="shared" si="11"/>
        <v>0</v>
      </c>
      <c r="AI203" s="46">
        <f t="shared" si="12"/>
        <v>0</v>
      </c>
      <c r="AJ203" s="47">
        <f t="shared" si="13"/>
        <v>0</v>
      </c>
      <c r="AK203" s="5"/>
      <c r="AL203" s="42">
        <f t="shared" si="14"/>
        <v>1</v>
      </c>
      <c r="AM203" s="3">
        <f t="shared" si="15"/>
        <v>1</v>
      </c>
      <c r="AN203" s="3">
        <f t="shared" si="16"/>
        <v>1</v>
      </c>
      <c r="AO203" s="3">
        <f t="shared" si="17"/>
        <v>0</v>
      </c>
      <c r="AP203" s="44">
        <f t="shared" si="18"/>
        <v>24590.24</v>
      </c>
      <c r="AQ203" s="48">
        <f t="shared" si="19"/>
        <v>0</v>
      </c>
      <c r="AR203" s="46">
        <f t="shared" si="20"/>
        <v>0.004313661386</v>
      </c>
      <c r="AS203" s="47">
        <f t="shared" si="21"/>
        <v>0</v>
      </c>
      <c r="AT203" s="5"/>
      <c r="AU203" s="49">
        <f t="shared" si="27"/>
        <v>24590.24</v>
      </c>
      <c r="AV203" s="50">
        <f t="shared" si="23"/>
        <v>1</v>
      </c>
      <c r="AW203" s="51">
        <f t="shared" si="24"/>
        <v>0.002385823435</v>
      </c>
      <c r="AX203" s="52">
        <f t="shared" si="25"/>
        <v>0</v>
      </c>
      <c r="AY203" s="5"/>
      <c r="AZ203" s="53">
        <f t="shared" si="26"/>
        <v>1</v>
      </c>
      <c r="BA203" s="5"/>
      <c r="BB203" s="5"/>
      <c r="BC203" s="5"/>
    </row>
    <row r="204" ht="12.75" customHeight="1">
      <c r="A204" s="25"/>
      <c r="B204" s="27" t="s">
        <v>374</v>
      </c>
      <c r="C204" s="27"/>
      <c r="D204" s="63">
        <v>23965.06</v>
      </c>
      <c r="E204" s="29" t="s">
        <v>39</v>
      </c>
      <c r="F204" s="30">
        <v>40968.0</v>
      </c>
      <c r="G204" s="30" t="s">
        <v>40</v>
      </c>
      <c r="H204" s="30">
        <v>41057.0</v>
      </c>
      <c r="I204" s="32">
        <f t="shared" si="1"/>
        <v>2.966666667</v>
      </c>
      <c r="J204" s="33" t="s">
        <v>129</v>
      </c>
      <c r="K204" s="34">
        <v>22977.0</v>
      </c>
      <c r="L204" s="35">
        <v>0.0</v>
      </c>
      <c r="M204" s="35">
        <v>0.0</v>
      </c>
      <c r="N204" s="35">
        <v>0.0</v>
      </c>
      <c r="O204" s="35">
        <f>IF(K204="N/A",0,IF(K204-D204&gt;0,0,D204-K204))</f>
        <v>988.06</v>
      </c>
      <c r="P204" s="35">
        <f t="shared" si="3"/>
        <v>988.06</v>
      </c>
      <c r="Q204" s="36">
        <f t="shared" si="4"/>
        <v>0.0412291895</v>
      </c>
      <c r="R204" s="36">
        <f t="shared" si="5"/>
        <v>0.9587708105</v>
      </c>
      <c r="S204" s="37"/>
      <c r="T204" s="5"/>
      <c r="U204" s="54"/>
      <c r="V204" s="55"/>
      <c r="W204" s="55"/>
      <c r="X204" s="56"/>
      <c r="Y204" s="55"/>
      <c r="Z204" s="55" t="str">
        <f t="shared" si="43"/>
        <v/>
      </c>
      <c r="AA204" s="57">
        <f t="shared" si="44"/>
        <v>0</v>
      </c>
      <c r="AB204" s="5"/>
      <c r="AC204" s="42">
        <f t="shared" si="6"/>
        <v>0</v>
      </c>
      <c r="AD204" s="3">
        <f t="shared" si="7"/>
        <v>1</v>
      </c>
      <c r="AE204" s="3">
        <f t="shared" si="8"/>
        <v>0</v>
      </c>
      <c r="AF204" s="43">
        <f t="shared" si="9"/>
        <v>0</v>
      </c>
      <c r="AG204" s="44">
        <f t="shared" si="10"/>
        <v>0</v>
      </c>
      <c r="AH204" s="45">
        <f t="shared" si="11"/>
        <v>0</v>
      </c>
      <c r="AI204" s="46">
        <f t="shared" si="12"/>
        <v>0</v>
      </c>
      <c r="AJ204" s="47">
        <f t="shared" si="13"/>
        <v>0</v>
      </c>
      <c r="AK204" s="5"/>
      <c r="AL204" s="42">
        <f t="shared" si="14"/>
        <v>1</v>
      </c>
      <c r="AM204" s="3">
        <f t="shared" si="15"/>
        <v>1</v>
      </c>
      <c r="AN204" s="3">
        <f t="shared" si="16"/>
        <v>1</v>
      </c>
      <c r="AO204" s="3">
        <f t="shared" si="17"/>
        <v>0</v>
      </c>
      <c r="AP204" s="44">
        <f t="shared" si="18"/>
        <v>23965.06</v>
      </c>
      <c r="AQ204" s="48">
        <f t="shared" si="19"/>
        <v>2.966666667</v>
      </c>
      <c r="AR204" s="46">
        <f t="shared" si="20"/>
        <v>0.004203991256</v>
      </c>
      <c r="AS204" s="47">
        <f t="shared" si="21"/>
        <v>0.0001733271521</v>
      </c>
      <c r="AT204" s="5"/>
      <c r="AU204" s="49">
        <f t="shared" si="27"/>
        <v>23965.06</v>
      </c>
      <c r="AV204" s="50">
        <f t="shared" si="23"/>
        <v>1</v>
      </c>
      <c r="AW204" s="51">
        <f t="shared" si="24"/>
        <v>0.002325166479</v>
      </c>
      <c r="AX204" s="52">
        <f t="shared" si="25"/>
        <v>0.00009586472937</v>
      </c>
      <c r="AY204" s="5"/>
      <c r="AZ204" s="53">
        <f t="shared" si="26"/>
        <v>1</v>
      </c>
      <c r="BA204" s="5"/>
      <c r="BB204" s="5"/>
      <c r="BC204" s="5"/>
    </row>
    <row r="205" ht="12.75" customHeight="1">
      <c r="A205" s="25"/>
      <c r="B205" s="27" t="s">
        <v>375</v>
      </c>
      <c r="C205" s="27"/>
      <c r="D205" s="63">
        <v>14631.91</v>
      </c>
      <c r="E205" s="29" t="s">
        <v>39</v>
      </c>
      <c r="F205" s="30">
        <v>40974.0</v>
      </c>
      <c r="G205" s="30" t="s">
        <v>40</v>
      </c>
      <c r="H205" s="30">
        <v>41305.0</v>
      </c>
      <c r="I205" s="32">
        <f t="shared" si="1"/>
        <v>11.03333333</v>
      </c>
      <c r="J205" s="33" t="s">
        <v>376</v>
      </c>
      <c r="K205" s="34">
        <v>15000.0</v>
      </c>
      <c r="L205" s="112">
        <v>717.76</v>
      </c>
      <c r="M205" s="35">
        <v>0.0</v>
      </c>
      <c r="N205" s="35">
        <v>0.0</v>
      </c>
      <c r="O205" s="35">
        <v>0.0</v>
      </c>
      <c r="P205" s="35">
        <f t="shared" si="3"/>
        <v>349.67</v>
      </c>
      <c r="Q205" s="36">
        <f t="shared" si="4"/>
        <v>0.02389776864</v>
      </c>
      <c r="R205" s="36">
        <f t="shared" si="5"/>
        <v>0.9761022314</v>
      </c>
      <c r="S205" s="37"/>
      <c r="T205" s="5"/>
      <c r="U205" s="54">
        <v>230.7</v>
      </c>
      <c r="V205" s="55">
        <v>637.16</v>
      </c>
      <c r="W205" s="55">
        <f>U205+V205</f>
        <v>867.86</v>
      </c>
      <c r="X205" s="56">
        <v>0.0675</v>
      </c>
      <c r="Y205" s="55">
        <f>((X205*D205)/365)*180</f>
        <v>487.0622096</v>
      </c>
      <c r="Z205" s="55">
        <f t="shared" si="43"/>
        <v>487.0622096</v>
      </c>
      <c r="AA205" s="57">
        <f t="shared" si="44"/>
        <v>717.7622096</v>
      </c>
      <c r="AB205" s="5"/>
      <c r="AC205" s="42">
        <f t="shared" si="6"/>
        <v>0</v>
      </c>
      <c r="AD205" s="3">
        <f t="shared" si="7"/>
        <v>1</v>
      </c>
      <c r="AE205" s="3">
        <f t="shared" si="8"/>
        <v>0</v>
      </c>
      <c r="AF205" s="43">
        <f t="shared" si="9"/>
        <v>0</v>
      </c>
      <c r="AG205" s="44">
        <f t="shared" si="10"/>
        <v>0</v>
      </c>
      <c r="AH205" s="45">
        <f t="shared" si="11"/>
        <v>0</v>
      </c>
      <c r="AI205" s="46">
        <f t="shared" si="12"/>
        <v>0</v>
      </c>
      <c r="AJ205" s="47">
        <f t="shared" si="13"/>
        <v>0</v>
      </c>
      <c r="AK205" s="5"/>
      <c r="AL205" s="42">
        <f t="shared" si="14"/>
        <v>1</v>
      </c>
      <c r="AM205" s="3">
        <f t="shared" si="15"/>
        <v>1</v>
      </c>
      <c r="AN205" s="3">
        <f t="shared" si="16"/>
        <v>1</v>
      </c>
      <c r="AO205" s="3">
        <f t="shared" si="17"/>
        <v>0</v>
      </c>
      <c r="AP205" s="44">
        <f t="shared" si="18"/>
        <v>14631.91</v>
      </c>
      <c r="AQ205" s="48">
        <f t="shared" si="19"/>
        <v>11.03333333</v>
      </c>
      <c r="AR205" s="46">
        <f t="shared" si="20"/>
        <v>0.002566754337</v>
      </c>
      <c r="AS205" s="47">
        <f t="shared" si="21"/>
        <v>0.00006133970132</v>
      </c>
      <c r="AT205" s="5"/>
      <c r="AU205" s="49">
        <f t="shared" si="27"/>
        <v>14631.91</v>
      </c>
      <c r="AV205" s="50">
        <f t="shared" si="23"/>
        <v>1</v>
      </c>
      <c r="AW205" s="51">
        <f t="shared" si="24"/>
        <v>0.001419634529</v>
      </c>
      <c r="AX205" s="52">
        <f t="shared" si="25"/>
        <v>0.00003392609752</v>
      </c>
      <c r="AY205" s="5"/>
      <c r="AZ205" s="53">
        <f t="shared" si="26"/>
        <v>1</v>
      </c>
      <c r="BA205" s="5"/>
      <c r="BB205" s="5"/>
      <c r="BC205" s="5"/>
    </row>
    <row r="206" ht="12.75" customHeight="1">
      <c r="A206" s="25"/>
      <c r="B206" s="27" t="s">
        <v>377</v>
      </c>
      <c r="C206" s="89"/>
      <c r="D206" s="63">
        <v>26269.98</v>
      </c>
      <c r="E206" s="94" t="s">
        <v>49</v>
      </c>
      <c r="F206" s="91">
        <v>40999.0</v>
      </c>
      <c r="G206" s="31" t="s">
        <v>40</v>
      </c>
      <c r="H206" s="30">
        <v>41143.0</v>
      </c>
      <c r="I206" s="32">
        <f t="shared" si="1"/>
        <v>4.8</v>
      </c>
      <c r="J206" s="64" t="s">
        <v>378</v>
      </c>
      <c r="K206" s="70">
        <v>26000.0</v>
      </c>
      <c r="L206" s="35">
        <v>0.0</v>
      </c>
      <c r="M206" s="65"/>
      <c r="N206" s="65"/>
      <c r="O206" s="65">
        <f t="shared" ref="O206:O207" si="56">IF(K206="N/A",0,IF(K206-D206&gt;0,0,D206-K206))</f>
        <v>269.98</v>
      </c>
      <c r="P206" s="35">
        <f t="shared" si="3"/>
        <v>269.98</v>
      </c>
      <c r="Q206" s="36">
        <f t="shared" si="4"/>
        <v>0.01027713002</v>
      </c>
      <c r="R206" s="36">
        <f t="shared" si="5"/>
        <v>0.98972287</v>
      </c>
      <c r="S206" s="37"/>
      <c r="T206" s="5"/>
      <c r="U206" s="54"/>
      <c r="V206" s="55"/>
      <c r="W206" s="55"/>
      <c r="X206" s="56"/>
      <c r="Y206" s="55"/>
      <c r="Z206" s="55" t="str">
        <f t="shared" si="43"/>
        <v/>
      </c>
      <c r="AA206" s="57">
        <f t="shared" si="44"/>
        <v>0</v>
      </c>
      <c r="AB206" s="5"/>
      <c r="AC206" s="42">
        <f t="shared" si="6"/>
        <v>1</v>
      </c>
      <c r="AD206" s="3">
        <f t="shared" si="7"/>
        <v>1</v>
      </c>
      <c r="AE206" s="3">
        <f t="shared" si="8"/>
        <v>1</v>
      </c>
      <c r="AF206" s="43">
        <f t="shared" si="9"/>
        <v>0</v>
      </c>
      <c r="AG206" s="44">
        <f t="shared" si="10"/>
        <v>26269.98</v>
      </c>
      <c r="AH206" s="45">
        <f t="shared" si="11"/>
        <v>4.8</v>
      </c>
      <c r="AI206" s="46">
        <f t="shared" si="12"/>
        <v>0.005684903893</v>
      </c>
      <c r="AJ206" s="47">
        <f t="shared" si="13"/>
        <v>0.00005842449644</v>
      </c>
      <c r="AK206" s="5"/>
      <c r="AL206" s="42">
        <f t="shared" si="14"/>
        <v>0</v>
      </c>
      <c r="AM206" s="3">
        <f t="shared" si="15"/>
        <v>1</v>
      </c>
      <c r="AN206" s="3">
        <f t="shared" si="16"/>
        <v>0</v>
      </c>
      <c r="AO206" s="3">
        <f t="shared" si="17"/>
        <v>0</v>
      </c>
      <c r="AP206" s="44">
        <f t="shared" si="18"/>
        <v>0</v>
      </c>
      <c r="AQ206" s="48">
        <f t="shared" si="19"/>
        <v>0</v>
      </c>
      <c r="AR206" s="46">
        <f t="shared" si="20"/>
        <v>0</v>
      </c>
      <c r="AS206" s="47">
        <f t="shared" si="21"/>
        <v>0</v>
      </c>
      <c r="AT206" s="5"/>
      <c r="AU206" s="49">
        <f t="shared" si="27"/>
        <v>26269.98</v>
      </c>
      <c r="AV206" s="50">
        <f t="shared" si="23"/>
        <v>1</v>
      </c>
      <c r="AW206" s="51">
        <f t="shared" si="24"/>
        <v>0.002548797161</v>
      </c>
      <c r="AX206" s="52">
        <f t="shared" si="25"/>
        <v>0.00002619431981</v>
      </c>
      <c r="AY206" s="5"/>
      <c r="AZ206" s="53">
        <f t="shared" si="26"/>
        <v>1</v>
      </c>
      <c r="BA206" s="5"/>
      <c r="BB206" s="5"/>
      <c r="BC206" s="5"/>
    </row>
    <row r="207" ht="12.75" customHeight="1">
      <c r="A207" s="25"/>
      <c r="B207" s="62" t="s">
        <v>379</v>
      </c>
      <c r="C207" s="62"/>
      <c r="D207" s="63">
        <v>21948.16</v>
      </c>
      <c r="E207" s="61" t="s">
        <v>49</v>
      </c>
      <c r="F207" s="88">
        <v>41029.0</v>
      </c>
      <c r="G207" s="32" t="s">
        <v>40</v>
      </c>
      <c r="H207" s="88">
        <v>41387.0</v>
      </c>
      <c r="I207" s="32">
        <f t="shared" si="1"/>
        <v>11.93333333</v>
      </c>
      <c r="J207" s="64" t="s">
        <v>380</v>
      </c>
      <c r="K207" s="70">
        <v>32000.0</v>
      </c>
      <c r="L207" s="115">
        <v>1352.44</v>
      </c>
      <c r="M207" s="65">
        <v>2306.15</v>
      </c>
      <c r="N207" s="65">
        <v>0.0</v>
      </c>
      <c r="O207" s="65">
        <f t="shared" si="56"/>
        <v>0</v>
      </c>
      <c r="P207" s="35">
        <f t="shared" si="3"/>
        <v>0</v>
      </c>
      <c r="Q207" s="36">
        <f t="shared" si="4"/>
        <v>0</v>
      </c>
      <c r="R207" s="36">
        <f t="shared" si="5"/>
        <v>1</v>
      </c>
      <c r="S207" s="37"/>
      <c r="T207" s="5"/>
      <c r="U207" s="54">
        <v>351.24</v>
      </c>
      <c r="V207" s="55">
        <v>4040.83</v>
      </c>
      <c r="W207" s="55">
        <f>U207+V207</f>
        <v>4392.07</v>
      </c>
      <c r="X207" s="56">
        <v>0.0925</v>
      </c>
      <c r="Y207" s="55">
        <f>((X207*D207)/365)*180</f>
        <v>1001.196888</v>
      </c>
      <c r="Z207" s="55">
        <f t="shared" si="43"/>
        <v>1001.196888</v>
      </c>
      <c r="AA207" s="57">
        <f t="shared" si="44"/>
        <v>1352.436888</v>
      </c>
      <c r="AB207" s="5"/>
      <c r="AC207" s="42">
        <f t="shared" si="6"/>
        <v>1</v>
      </c>
      <c r="AD207" s="3">
        <f t="shared" si="7"/>
        <v>1</v>
      </c>
      <c r="AE207" s="3">
        <f t="shared" si="8"/>
        <v>1</v>
      </c>
      <c r="AF207" s="43">
        <f t="shared" si="9"/>
        <v>2306.15</v>
      </c>
      <c r="AG207" s="44">
        <f t="shared" si="10"/>
        <v>21948.16</v>
      </c>
      <c r="AH207" s="45">
        <f t="shared" si="11"/>
        <v>11.93333333</v>
      </c>
      <c r="AI207" s="46">
        <f t="shared" si="12"/>
        <v>0.004749648847</v>
      </c>
      <c r="AJ207" s="47">
        <f t="shared" si="13"/>
        <v>0</v>
      </c>
      <c r="AK207" s="5"/>
      <c r="AL207" s="42">
        <f t="shared" si="14"/>
        <v>0</v>
      </c>
      <c r="AM207" s="3">
        <f t="shared" si="15"/>
        <v>1</v>
      </c>
      <c r="AN207" s="3">
        <f t="shared" si="16"/>
        <v>0</v>
      </c>
      <c r="AO207" s="3">
        <f t="shared" si="17"/>
        <v>0</v>
      </c>
      <c r="AP207" s="44">
        <f t="shared" si="18"/>
        <v>0</v>
      </c>
      <c r="AQ207" s="48">
        <f t="shared" si="19"/>
        <v>0</v>
      </c>
      <c r="AR207" s="46">
        <f t="shared" si="20"/>
        <v>0</v>
      </c>
      <c r="AS207" s="47">
        <f t="shared" si="21"/>
        <v>0</v>
      </c>
      <c r="AT207" s="5"/>
      <c r="AU207" s="49">
        <f t="shared" si="27"/>
        <v>21948.16</v>
      </c>
      <c r="AV207" s="50">
        <f t="shared" si="23"/>
        <v>1</v>
      </c>
      <c r="AW207" s="51">
        <f t="shared" si="24"/>
        <v>0.002129480415</v>
      </c>
      <c r="AX207" s="52">
        <f t="shared" si="25"/>
        <v>0</v>
      </c>
      <c r="AY207" s="5"/>
      <c r="AZ207" s="53">
        <f t="shared" si="26"/>
        <v>1</v>
      </c>
      <c r="BA207" s="5"/>
      <c r="BB207" s="5"/>
      <c r="BC207" s="5"/>
    </row>
    <row r="208" ht="12.75" customHeight="1">
      <c r="A208" s="25"/>
      <c r="B208" s="27" t="s">
        <v>381</v>
      </c>
      <c r="C208" s="27"/>
      <c r="D208" s="63">
        <v>18292.19</v>
      </c>
      <c r="E208" s="94" t="s">
        <v>39</v>
      </c>
      <c r="F208" s="30">
        <v>41060.0</v>
      </c>
      <c r="G208" s="32" t="s">
        <v>40</v>
      </c>
      <c r="H208" s="30">
        <v>41060.0</v>
      </c>
      <c r="I208" s="32">
        <f t="shared" si="1"/>
        <v>0</v>
      </c>
      <c r="J208" s="33" t="s">
        <v>129</v>
      </c>
      <c r="K208" s="34">
        <v>19000.0</v>
      </c>
      <c r="L208" s="35">
        <v>2971.01</v>
      </c>
      <c r="M208" s="35">
        <v>1050.08</v>
      </c>
      <c r="N208" s="35">
        <v>0.0</v>
      </c>
      <c r="O208" s="65">
        <v>0.0</v>
      </c>
      <c r="P208" s="35">
        <f t="shared" si="3"/>
        <v>3313.28</v>
      </c>
      <c r="Q208" s="36">
        <f t="shared" si="4"/>
        <v>0.1811308542</v>
      </c>
      <c r="R208" s="36">
        <f t="shared" si="5"/>
        <v>0.8188691458</v>
      </c>
      <c r="S208" s="37"/>
      <c r="T208" s="5"/>
      <c r="U208" s="54"/>
      <c r="V208" s="55"/>
      <c r="W208" s="55"/>
      <c r="X208" s="56"/>
      <c r="Y208" s="55"/>
      <c r="Z208" s="55" t="str">
        <f t="shared" si="43"/>
        <v/>
      </c>
      <c r="AA208" s="57">
        <f t="shared" si="44"/>
        <v>0</v>
      </c>
      <c r="AB208" s="5"/>
      <c r="AC208" s="42">
        <f t="shared" si="6"/>
        <v>0</v>
      </c>
      <c r="AD208" s="3">
        <f t="shared" si="7"/>
        <v>1</v>
      </c>
      <c r="AE208" s="3">
        <f t="shared" si="8"/>
        <v>0</v>
      </c>
      <c r="AF208" s="43">
        <f t="shared" si="9"/>
        <v>0</v>
      </c>
      <c r="AG208" s="44">
        <f t="shared" si="10"/>
        <v>0</v>
      </c>
      <c r="AH208" s="45">
        <f t="shared" si="11"/>
        <v>0</v>
      </c>
      <c r="AI208" s="46">
        <f t="shared" si="12"/>
        <v>0</v>
      </c>
      <c r="AJ208" s="47">
        <f t="shared" si="13"/>
        <v>0</v>
      </c>
      <c r="AK208" s="5"/>
      <c r="AL208" s="42">
        <f t="shared" si="14"/>
        <v>1</v>
      </c>
      <c r="AM208" s="3">
        <f t="shared" si="15"/>
        <v>1</v>
      </c>
      <c r="AN208" s="3">
        <f t="shared" si="16"/>
        <v>1</v>
      </c>
      <c r="AO208" s="3">
        <f t="shared" si="17"/>
        <v>1050.08</v>
      </c>
      <c r="AP208" s="44">
        <f t="shared" si="18"/>
        <v>18292.19</v>
      </c>
      <c r="AQ208" s="48">
        <f t="shared" si="19"/>
        <v>0</v>
      </c>
      <c r="AR208" s="46">
        <f t="shared" si="20"/>
        <v>0.00320884683</v>
      </c>
      <c r="AS208" s="47">
        <f t="shared" si="21"/>
        <v>0.0005812211673</v>
      </c>
      <c r="AT208" s="5"/>
      <c r="AU208" s="49">
        <f t="shared" si="27"/>
        <v>18292.19</v>
      </c>
      <c r="AV208" s="50">
        <f t="shared" si="23"/>
        <v>1</v>
      </c>
      <c r="AW208" s="51">
        <f t="shared" si="24"/>
        <v>0.001774766557</v>
      </c>
      <c r="AX208" s="52">
        <f t="shared" si="25"/>
        <v>0.0003214649824</v>
      </c>
      <c r="AY208" s="5"/>
      <c r="AZ208" s="53">
        <f t="shared" si="26"/>
        <v>1</v>
      </c>
      <c r="BA208" s="5"/>
      <c r="BB208" s="5"/>
      <c r="BC208" s="5"/>
    </row>
    <row r="209" ht="12.75" customHeight="1">
      <c r="A209" s="25"/>
      <c r="B209" s="62" t="s">
        <v>381</v>
      </c>
      <c r="C209" s="62"/>
      <c r="D209" s="63">
        <v>18292.19</v>
      </c>
      <c r="E209" s="29" t="s">
        <v>39</v>
      </c>
      <c r="F209" s="30">
        <v>41060.0</v>
      </c>
      <c r="G209" s="32" t="s">
        <v>40</v>
      </c>
      <c r="H209" s="30">
        <v>41121.0</v>
      </c>
      <c r="I209" s="32">
        <f t="shared" si="1"/>
        <v>2.033333333</v>
      </c>
      <c r="J209" s="64" t="s">
        <v>382</v>
      </c>
      <c r="K209" s="34">
        <v>23000.0</v>
      </c>
      <c r="L209" s="65">
        <v>2971.01</v>
      </c>
      <c r="M209" s="65">
        <v>1050.08</v>
      </c>
      <c r="N209" s="65"/>
      <c r="O209" s="65">
        <f t="shared" ref="O209:O215" si="57">IF(K209="N/A",0,IF(K209-D209&gt;0,0,D209-K209))</f>
        <v>0</v>
      </c>
      <c r="P209" s="35">
        <f t="shared" si="3"/>
        <v>0</v>
      </c>
      <c r="Q209" s="36">
        <f t="shared" si="4"/>
        <v>0</v>
      </c>
      <c r="R209" s="36">
        <f t="shared" si="5"/>
        <v>1</v>
      </c>
      <c r="S209" s="37"/>
      <c r="T209" s="5"/>
      <c r="U209" s="54"/>
      <c r="V209" s="55"/>
      <c r="W209" s="55"/>
      <c r="X209" s="56"/>
      <c r="Y209" s="55"/>
      <c r="Z209" s="55" t="str">
        <f t="shared" si="43"/>
        <v/>
      </c>
      <c r="AA209" s="57">
        <f t="shared" si="44"/>
        <v>0</v>
      </c>
      <c r="AB209" s="5"/>
      <c r="AC209" s="42">
        <f t="shared" si="6"/>
        <v>0</v>
      </c>
      <c r="AD209" s="3">
        <f t="shared" si="7"/>
        <v>1</v>
      </c>
      <c r="AE209" s="3">
        <f t="shared" si="8"/>
        <v>0</v>
      </c>
      <c r="AF209" s="43">
        <f t="shared" si="9"/>
        <v>0</v>
      </c>
      <c r="AG209" s="44">
        <f t="shared" si="10"/>
        <v>0</v>
      </c>
      <c r="AH209" s="45">
        <f t="shared" si="11"/>
        <v>0</v>
      </c>
      <c r="AI209" s="46">
        <f t="shared" si="12"/>
        <v>0</v>
      </c>
      <c r="AJ209" s="47">
        <f t="shared" si="13"/>
        <v>0</v>
      </c>
      <c r="AK209" s="5"/>
      <c r="AL209" s="42">
        <f t="shared" si="14"/>
        <v>1</v>
      </c>
      <c r="AM209" s="3">
        <f t="shared" si="15"/>
        <v>1</v>
      </c>
      <c r="AN209" s="3">
        <f t="shared" si="16"/>
        <v>1</v>
      </c>
      <c r="AO209" s="3">
        <f t="shared" si="17"/>
        <v>1050.08</v>
      </c>
      <c r="AP209" s="44">
        <f t="shared" si="18"/>
        <v>18292.19</v>
      </c>
      <c r="AQ209" s="48">
        <f t="shared" si="19"/>
        <v>2.033333333</v>
      </c>
      <c r="AR209" s="46">
        <f t="shared" si="20"/>
        <v>0.00320884683</v>
      </c>
      <c r="AS209" s="47">
        <f t="shared" si="21"/>
        <v>0</v>
      </c>
      <c r="AT209" s="5"/>
      <c r="AU209" s="49">
        <f t="shared" si="27"/>
        <v>18292.19</v>
      </c>
      <c r="AV209" s="50">
        <f t="shared" si="23"/>
        <v>1</v>
      </c>
      <c r="AW209" s="51">
        <f t="shared" si="24"/>
        <v>0.001774766557</v>
      </c>
      <c r="AX209" s="52">
        <f t="shared" si="25"/>
        <v>0</v>
      </c>
      <c r="AY209" s="5"/>
      <c r="AZ209" s="53">
        <f t="shared" si="26"/>
        <v>1</v>
      </c>
      <c r="BA209" s="5"/>
      <c r="BB209" s="5"/>
      <c r="BC209" s="5"/>
    </row>
    <row r="210" ht="12.75" customHeight="1">
      <c r="A210" s="25"/>
      <c r="B210" s="62" t="s">
        <v>383</v>
      </c>
      <c r="C210" s="62"/>
      <c r="D210" s="63">
        <v>19000.0</v>
      </c>
      <c r="E210" s="29" t="s">
        <v>39</v>
      </c>
      <c r="F210" s="30">
        <v>41060.0</v>
      </c>
      <c r="G210" s="109" t="s">
        <v>40</v>
      </c>
      <c r="H210" s="30">
        <v>41422.0</v>
      </c>
      <c r="I210" s="32">
        <f t="shared" si="1"/>
        <v>12.06666667</v>
      </c>
      <c r="J210" s="64" t="s">
        <v>384</v>
      </c>
      <c r="K210" s="34">
        <v>19000.0</v>
      </c>
      <c r="L210" s="115">
        <v>850.16</v>
      </c>
      <c r="M210" s="65">
        <v>1561.39</v>
      </c>
      <c r="N210" s="65">
        <v>0.0</v>
      </c>
      <c r="O210" s="65">
        <f t="shared" si="57"/>
        <v>0</v>
      </c>
      <c r="P210" s="35">
        <f t="shared" si="3"/>
        <v>2411.55</v>
      </c>
      <c r="Q210" s="36">
        <f t="shared" si="4"/>
        <v>0.1269236842</v>
      </c>
      <c r="R210" s="36">
        <f t="shared" si="5"/>
        <v>0.8730763158</v>
      </c>
      <c r="S210" s="37"/>
      <c r="T210" s="5"/>
      <c r="U210" s="54">
        <v>124.0</v>
      </c>
      <c r="V210" s="55">
        <v>855.25</v>
      </c>
      <c r="W210" s="55">
        <f t="shared" ref="W210:W211" si="58">U210+V210</f>
        <v>979.25</v>
      </c>
      <c r="X210" s="56">
        <v>0.0775</v>
      </c>
      <c r="Y210" s="55">
        <f t="shared" ref="Y210:Y211" si="59">((X210*D210)/365)*180</f>
        <v>726.1643836</v>
      </c>
      <c r="Z210" s="55">
        <f t="shared" si="43"/>
        <v>726.1643836</v>
      </c>
      <c r="AA210" s="57">
        <f t="shared" si="44"/>
        <v>850.1643836</v>
      </c>
      <c r="AB210" s="5"/>
      <c r="AC210" s="42">
        <f t="shared" si="6"/>
        <v>0</v>
      </c>
      <c r="AD210" s="3">
        <f t="shared" si="7"/>
        <v>1</v>
      </c>
      <c r="AE210" s="3">
        <f t="shared" si="8"/>
        <v>0</v>
      </c>
      <c r="AF210" s="43">
        <f t="shared" si="9"/>
        <v>0</v>
      </c>
      <c r="AG210" s="44">
        <f t="shared" si="10"/>
        <v>0</v>
      </c>
      <c r="AH210" s="45">
        <f t="shared" si="11"/>
        <v>0</v>
      </c>
      <c r="AI210" s="46">
        <f t="shared" si="12"/>
        <v>0</v>
      </c>
      <c r="AJ210" s="47">
        <f t="shared" si="13"/>
        <v>0</v>
      </c>
      <c r="AK210" s="5"/>
      <c r="AL210" s="42">
        <f t="shared" si="14"/>
        <v>1</v>
      </c>
      <c r="AM210" s="3">
        <f t="shared" si="15"/>
        <v>1</v>
      </c>
      <c r="AN210" s="3">
        <f t="shared" si="16"/>
        <v>1</v>
      </c>
      <c r="AO210" s="3">
        <f t="shared" si="17"/>
        <v>1561.39</v>
      </c>
      <c r="AP210" s="44">
        <f t="shared" si="18"/>
        <v>19000</v>
      </c>
      <c r="AQ210" s="48">
        <f t="shared" si="19"/>
        <v>12.06666667</v>
      </c>
      <c r="AR210" s="46">
        <f t="shared" si="20"/>
        <v>0.003333012054</v>
      </c>
      <c r="AS210" s="47">
        <f t="shared" si="21"/>
        <v>0.0004230381695</v>
      </c>
      <c r="AT210" s="5"/>
      <c r="AU210" s="49">
        <f t="shared" si="27"/>
        <v>19000</v>
      </c>
      <c r="AV210" s="50">
        <f t="shared" si="23"/>
        <v>1</v>
      </c>
      <c r="AW210" s="51">
        <f t="shared" si="24"/>
        <v>0.001843440538</v>
      </c>
      <c r="AX210" s="52">
        <f t="shared" si="25"/>
        <v>0.0002339762647</v>
      </c>
      <c r="AY210" s="5"/>
      <c r="AZ210" s="53">
        <f t="shared" si="26"/>
        <v>1</v>
      </c>
      <c r="BA210" s="5"/>
      <c r="BB210" s="5"/>
      <c r="BC210" s="5"/>
    </row>
    <row r="211" ht="12.75" customHeight="1">
      <c r="A211" s="25"/>
      <c r="B211" s="62" t="s">
        <v>385</v>
      </c>
      <c r="C211" s="62"/>
      <c r="D211" s="63">
        <v>10784.29</v>
      </c>
      <c r="E211" s="29" t="s">
        <v>39</v>
      </c>
      <c r="F211" s="30">
        <v>41060.0</v>
      </c>
      <c r="G211" s="88" t="s">
        <v>40</v>
      </c>
      <c r="H211" s="30">
        <v>41455.0</v>
      </c>
      <c r="I211" s="32">
        <f t="shared" si="1"/>
        <v>13.16666667</v>
      </c>
      <c r="J211" s="64" t="s">
        <v>386</v>
      </c>
      <c r="K211" s="34">
        <v>12000.0</v>
      </c>
      <c r="L211" s="115">
        <v>666.46</v>
      </c>
      <c r="M211" s="65">
        <v>877.05</v>
      </c>
      <c r="N211" s="65">
        <v>0.0</v>
      </c>
      <c r="O211" s="65">
        <f t="shared" si="57"/>
        <v>0</v>
      </c>
      <c r="P211" s="35">
        <f t="shared" si="3"/>
        <v>327.8</v>
      </c>
      <c r="Q211" s="36">
        <f t="shared" si="4"/>
        <v>0.03039606687</v>
      </c>
      <c r="R211" s="36">
        <f t="shared" si="5"/>
        <v>0.9696039331</v>
      </c>
      <c r="S211" s="37"/>
      <c r="T211" s="5"/>
      <c r="U211" s="54">
        <v>254.29</v>
      </c>
      <c r="V211" s="55">
        <v>943.26</v>
      </c>
      <c r="W211" s="55">
        <f t="shared" si="58"/>
        <v>1197.55</v>
      </c>
      <c r="X211" s="56">
        <v>0.0775</v>
      </c>
      <c r="Y211" s="55">
        <f t="shared" si="59"/>
        <v>412.1667</v>
      </c>
      <c r="Z211" s="55">
        <f t="shared" si="43"/>
        <v>412.1667</v>
      </c>
      <c r="AA211" s="57">
        <f t="shared" si="44"/>
        <v>666.4567</v>
      </c>
      <c r="AB211" s="5"/>
      <c r="AC211" s="42">
        <f t="shared" si="6"/>
        <v>0</v>
      </c>
      <c r="AD211" s="3">
        <f t="shared" si="7"/>
        <v>1</v>
      </c>
      <c r="AE211" s="3">
        <f t="shared" si="8"/>
        <v>0</v>
      </c>
      <c r="AF211" s="43">
        <f t="shared" si="9"/>
        <v>0</v>
      </c>
      <c r="AG211" s="44">
        <f t="shared" si="10"/>
        <v>0</v>
      </c>
      <c r="AH211" s="45">
        <f t="shared" si="11"/>
        <v>0</v>
      </c>
      <c r="AI211" s="46">
        <f t="shared" si="12"/>
        <v>0</v>
      </c>
      <c r="AJ211" s="47">
        <f t="shared" si="13"/>
        <v>0</v>
      </c>
      <c r="AK211" s="5"/>
      <c r="AL211" s="42">
        <f t="shared" si="14"/>
        <v>1</v>
      </c>
      <c r="AM211" s="3">
        <f t="shared" si="15"/>
        <v>1</v>
      </c>
      <c r="AN211" s="3">
        <f t="shared" si="16"/>
        <v>1</v>
      </c>
      <c r="AO211" s="3">
        <f t="shared" si="17"/>
        <v>877.05</v>
      </c>
      <c r="AP211" s="44">
        <f t="shared" si="18"/>
        <v>10784.29</v>
      </c>
      <c r="AQ211" s="48">
        <f t="shared" si="19"/>
        <v>13.16666667</v>
      </c>
      <c r="AR211" s="46">
        <f t="shared" si="20"/>
        <v>0.001891798346</v>
      </c>
      <c r="AS211" s="47">
        <f t="shared" si="21"/>
        <v>0.00005750322902</v>
      </c>
      <c r="AT211" s="5"/>
      <c r="AU211" s="49">
        <f t="shared" si="27"/>
        <v>10784.29</v>
      </c>
      <c r="AV211" s="50">
        <f t="shared" si="23"/>
        <v>1</v>
      </c>
      <c r="AW211" s="51">
        <f t="shared" si="24"/>
        <v>0.001046326177</v>
      </c>
      <c r="AX211" s="52">
        <f t="shared" si="25"/>
        <v>0.00003180420044</v>
      </c>
      <c r="AY211" s="5"/>
      <c r="AZ211" s="53">
        <f t="shared" si="26"/>
        <v>1</v>
      </c>
      <c r="BA211" s="5"/>
      <c r="BB211" s="5"/>
      <c r="BC211" s="5"/>
    </row>
    <row r="212" ht="12.75" customHeight="1">
      <c r="A212" s="25"/>
      <c r="B212" s="62" t="s">
        <v>387</v>
      </c>
      <c r="C212" s="62"/>
      <c r="D212" s="63">
        <v>18000.0</v>
      </c>
      <c r="E212" s="94" t="s">
        <v>39</v>
      </c>
      <c r="F212" s="30">
        <v>41061.0</v>
      </c>
      <c r="G212" s="88" t="s">
        <v>40</v>
      </c>
      <c r="H212" s="30">
        <v>41116.0</v>
      </c>
      <c r="I212" s="32">
        <f t="shared" si="1"/>
        <v>1.833333333</v>
      </c>
      <c r="J212" s="64" t="s">
        <v>388</v>
      </c>
      <c r="K212" s="34">
        <v>23000.0</v>
      </c>
      <c r="L212" s="65">
        <v>1805.75</v>
      </c>
      <c r="M212" s="65">
        <v>1901.49</v>
      </c>
      <c r="N212" s="65">
        <v>0.0</v>
      </c>
      <c r="O212" s="65">
        <f t="shared" si="57"/>
        <v>0</v>
      </c>
      <c r="P212" s="35">
        <f t="shared" si="3"/>
        <v>0</v>
      </c>
      <c r="Q212" s="36">
        <f t="shared" si="4"/>
        <v>0</v>
      </c>
      <c r="R212" s="36">
        <f t="shared" si="5"/>
        <v>1</v>
      </c>
      <c r="S212" s="37"/>
      <c r="T212" s="5"/>
      <c r="U212" s="54"/>
      <c r="V212" s="55"/>
      <c r="W212" s="55"/>
      <c r="X212" s="56"/>
      <c r="Y212" s="55"/>
      <c r="Z212" s="55" t="str">
        <f t="shared" si="43"/>
        <v/>
      </c>
      <c r="AA212" s="57">
        <f t="shared" si="44"/>
        <v>0</v>
      </c>
      <c r="AB212" s="5"/>
      <c r="AC212" s="42">
        <f t="shared" si="6"/>
        <v>0</v>
      </c>
      <c r="AD212" s="3">
        <f t="shared" si="7"/>
        <v>1</v>
      </c>
      <c r="AE212" s="3">
        <f t="shared" si="8"/>
        <v>0</v>
      </c>
      <c r="AF212" s="43">
        <f t="shared" si="9"/>
        <v>0</v>
      </c>
      <c r="AG212" s="44">
        <f t="shared" si="10"/>
        <v>0</v>
      </c>
      <c r="AH212" s="45">
        <f t="shared" si="11"/>
        <v>0</v>
      </c>
      <c r="AI212" s="46">
        <f t="shared" si="12"/>
        <v>0</v>
      </c>
      <c r="AJ212" s="47">
        <f t="shared" si="13"/>
        <v>0</v>
      </c>
      <c r="AK212" s="5"/>
      <c r="AL212" s="42">
        <f t="shared" si="14"/>
        <v>1</v>
      </c>
      <c r="AM212" s="3">
        <f t="shared" si="15"/>
        <v>1</v>
      </c>
      <c r="AN212" s="3">
        <f t="shared" si="16"/>
        <v>1</v>
      </c>
      <c r="AO212" s="3">
        <f t="shared" si="17"/>
        <v>1901.49</v>
      </c>
      <c r="AP212" s="44">
        <f t="shared" si="18"/>
        <v>18000</v>
      </c>
      <c r="AQ212" s="48">
        <f t="shared" si="19"/>
        <v>1.833333333</v>
      </c>
      <c r="AR212" s="46">
        <f t="shared" si="20"/>
        <v>0.003157590367</v>
      </c>
      <c r="AS212" s="47">
        <f t="shared" si="21"/>
        <v>0</v>
      </c>
      <c r="AT212" s="5"/>
      <c r="AU212" s="49">
        <f t="shared" si="27"/>
        <v>18000</v>
      </c>
      <c r="AV212" s="50">
        <f t="shared" si="23"/>
        <v>1</v>
      </c>
      <c r="AW212" s="51">
        <f t="shared" si="24"/>
        <v>0.001746417352</v>
      </c>
      <c r="AX212" s="52">
        <f t="shared" si="25"/>
        <v>0</v>
      </c>
      <c r="AY212" s="5"/>
      <c r="AZ212" s="53">
        <f t="shared" si="26"/>
        <v>1</v>
      </c>
      <c r="BA212" s="5"/>
      <c r="BB212" s="5"/>
      <c r="BC212" s="5"/>
    </row>
    <row r="213" ht="12.75" customHeight="1">
      <c r="A213" s="25"/>
      <c r="B213" s="62" t="s">
        <v>389</v>
      </c>
      <c r="C213" s="62"/>
      <c r="D213" s="63">
        <v>54443.73</v>
      </c>
      <c r="E213" s="94" t="s">
        <v>39</v>
      </c>
      <c r="F213" s="30">
        <v>41061.0</v>
      </c>
      <c r="G213" s="88" t="s">
        <v>40</v>
      </c>
      <c r="H213" s="30">
        <v>41152.0</v>
      </c>
      <c r="I213" s="32">
        <f t="shared" si="1"/>
        <v>3.033333333</v>
      </c>
      <c r="J213" s="64" t="s">
        <v>86</v>
      </c>
      <c r="K213" s="34">
        <v>56000.0</v>
      </c>
      <c r="L213" s="65">
        <v>3444.0</v>
      </c>
      <c r="M213" s="65">
        <v>0.0</v>
      </c>
      <c r="N213" s="65">
        <v>0.0</v>
      </c>
      <c r="O213" s="65">
        <f t="shared" si="57"/>
        <v>0</v>
      </c>
      <c r="P213" s="35">
        <f t="shared" si="3"/>
        <v>1887.73</v>
      </c>
      <c r="Q213" s="36">
        <f t="shared" si="4"/>
        <v>0.03467304683</v>
      </c>
      <c r="R213" s="36">
        <f t="shared" si="5"/>
        <v>0.9653269532</v>
      </c>
      <c r="S213" s="37"/>
      <c r="T213" s="5"/>
      <c r="U213" s="54"/>
      <c r="V213" s="55"/>
      <c r="W213" s="55"/>
      <c r="X213" s="56"/>
      <c r="Y213" s="55"/>
      <c r="Z213" s="55" t="str">
        <f t="shared" si="43"/>
        <v/>
      </c>
      <c r="AA213" s="57">
        <f t="shared" si="44"/>
        <v>0</v>
      </c>
      <c r="AB213" s="5"/>
      <c r="AC213" s="42">
        <f t="shared" si="6"/>
        <v>0</v>
      </c>
      <c r="AD213" s="3">
        <f t="shared" si="7"/>
        <v>1</v>
      </c>
      <c r="AE213" s="3">
        <f t="shared" si="8"/>
        <v>0</v>
      </c>
      <c r="AF213" s="43">
        <f t="shared" si="9"/>
        <v>0</v>
      </c>
      <c r="AG213" s="44">
        <f t="shared" si="10"/>
        <v>0</v>
      </c>
      <c r="AH213" s="45">
        <f t="shared" si="11"/>
        <v>0</v>
      </c>
      <c r="AI213" s="46">
        <f t="shared" si="12"/>
        <v>0</v>
      </c>
      <c r="AJ213" s="47">
        <f t="shared" si="13"/>
        <v>0</v>
      </c>
      <c r="AK213" s="5"/>
      <c r="AL213" s="42">
        <f t="shared" si="14"/>
        <v>1</v>
      </c>
      <c r="AM213" s="3">
        <f t="shared" si="15"/>
        <v>1</v>
      </c>
      <c r="AN213" s="3">
        <f t="shared" si="16"/>
        <v>1</v>
      </c>
      <c r="AO213" s="3">
        <f t="shared" si="17"/>
        <v>0</v>
      </c>
      <c r="AP213" s="44">
        <f t="shared" si="18"/>
        <v>54443.73</v>
      </c>
      <c r="AQ213" s="48">
        <f t="shared" si="19"/>
        <v>3.033333333</v>
      </c>
      <c r="AR213" s="46">
        <f t="shared" si="20"/>
        <v>0.009550610967</v>
      </c>
      <c r="AS213" s="47">
        <f t="shared" si="21"/>
        <v>0.0003311487813</v>
      </c>
      <c r="AT213" s="5"/>
      <c r="AU213" s="49">
        <f t="shared" si="27"/>
        <v>54443.73</v>
      </c>
      <c r="AV213" s="50">
        <f t="shared" si="23"/>
        <v>1</v>
      </c>
      <c r="AW213" s="51">
        <f t="shared" si="24"/>
        <v>0.005282304154</v>
      </c>
      <c r="AX213" s="52">
        <f t="shared" si="25"/>
        <v>0.0001831535793</v>
      </c>
      <c r="AY213" s="5"/>
      <c r="AZ213" s="53">
        <f t="shared" si="26"/>
        <v>1</v>
      </c>
      <c r="BA213" s="5"/>
      <c r="BB213" s="5"/>
      <c r="BC213" s="5"/>
    </row>
    <row r="214" ht="12.75" customHeight="1">
      <c r="A214" s="25"/>
      <c r="B214" s="62" t="s">
        <v>390</v>
      </c>
      <c r="C214" s="62"/>
      <c r="D214" s="63">
        <v>20108.43</v>
      </c>
      <c r="E214" s="94" t="s">
        <v>39</v>
      </c>
      <c r="F214" s="30">
        <v>41061.0</v>
      </c>
      <c r="G214" s="32" t="s">
        <v>40</v>
      </c>
      <c r="H214" s="30">
        <v>41182.0</v>
      </c>
      <c r="I214" s="32">
        <f t="shared" si="1"/>
        <v>4.033333333</v>
      </c>
      <c r="J214" s="64" t="s">
        <v>391</v>
      </c>
      <c r="K214" s="34">
        <v>13000.0</v>
      </c>
      <c r="L214" s="65">
        <v>1958.93</v>
      </c>
      <c r="M214" s="65">
        <v>0.0</v>
      </c>
      <c r="N214" s="65"/>
      <c r="O214" s="65">
        <f t="shared" si="57"/>
        <v>7108.43</v>
      </c>
      <c r="P214" s="35">
        <f t="shared" si="3"/>
        <v>9067.36</v>
      </c>
      <c r="Q214" s="36">
        <f t="shared" si="4"/>
        <v>0.4509233192</v>
      </c>
      <c r="R214" s="36">
        <f t="shared" si="5"/>
        <v>0.5490766808</v>
      </c>
      <c r="S214" s="37"/>
      <c r="T214" s="5"/>
      <c r="U214" s="54"/>
      <c r="V214" s="55"/>
      <c r="W214" s="55"/>
      <c r="X214" s="56"/>
      <c r="Y214" s="55"/>
      <c r="Z214" s="55" t="str">
        <f t="shared" si="43"/>
        <v/>
      </c>
      <c r="AA214" s="57">
        <f t="shared" si="44"/>
        <v>0</v>
      </c>
      <c r="AB214" s="5"/>
      <c r="AC214" s="42">
        <f t="shared" si="6"/>
        <v>0</v>
      </c>
      <c r="AD214" s="3">
        <f t="shared" si="7"/>
        <v>1</v>
      </c>
      <c r="AE214" s="3">
        <f t="shared" si="8"/>
        <v>0</v>
      </c>
      <c r="AF214" s="43">
        <f t="shared" si="9"/>
        <v>0</v>
      </c>
      <c r="AG214" s="44">
        <f t="shared" si="10"/>
        <v>0</v>
      </c>
      <c r="AH214" s="45">
        <f t="shared" si="11"/>
        <v>0</v>
      </c>
      <c r="AI214" s="46">
        <f t="shared" si="12"/>
        <v>0</v>
      </c>
      <c r="AJ214" s="47">
        <f t="shared" si="13"/>
        <v>0</v>
      </c>
      <c r="AK214" s="5"/>
      <c r="AL214" s="42">
        <f t="shared" si="14"/>
        <v>1</v>
      </c>
      <c r="AM214" s="3">
        <f t="shared" si="15"/>
        <v>1</v>
      </c>
      <c r="AN214" s="3">
        <f t="shared" si="16"/>
        <v>1</v>
      </c>
      <c r="AO214" s="3">
        <f t="shared" si="17"/>
        <v>0</v>
      </c>
      <c r="AP214" s="44">
        <f t="shared" si="18"/>
        <v>20108.43</v>
      </c>
      <c r="AQ214" s="48">
        <f t="shared" si="19"/>
        <v>4.033333333</v>
      </c>
      <c r="AR214" s="46">
        <f t="shared" si="20"/>
        <v>0.003527454715</v>
      </c>
      <c r="AS214" s="47">
        <f t="shared" si="21"/>
        <v>0.001590611588</v>
      </c>
      <c r="AT214" s="5"/>
      <c r="AU214" s="49">
        <f t="shared" si="27"/>
        <v>20108.43</v>
      </c>
      <c r="AV214" s="50">
        <f t="shared" si="23"/>
        <v>1</v>
      </c>
      <c r="AW214" s="51">
        <f t="shared" si="24"/>
        <v>0.001950983948</v>
      </c>
      <c r="AX214" s="52">
        <f t="shared" si="25"/>
        <v>0.0008797441578</v>
      </c>
      <c r="AY214" s="5"/>
      <c r="AZ214" s="53">
        <f t="shared" si="26"/>
        <v>1</v>
      </c>
      <c r="BA214" s="5"/>
      <c r="BB214" s="5"/>
      <c r="BC214" s="5"/>
    </row>
    <row r="215" ht="12.75" customHeight="1">
      <c r="A215" s="25"/>
      <c r="B215" s="62" t="s">
        <v>392</v>
      </c>
      <c r="C215" s="62"/>
      <c r="D215" s="63">
        <v>21120.48</v>
      </c>
      <c r="E215" s="29" t="s">
        <v>39</v>
      </c>
      <c r="F215" s="30">
        <v>41061.0</v>
      </c>
      <c r="G215" s="32" t="s">
        <v>40</v>
      </c>
      <c r="H215" s="30">
        <v>41207.0</v>
      </c>
      <c r="I215" s="32">
        <f t="shared" si="1"/>
        <v>4.866666667</v>
      </c>
      <c r="J215" s="64" t="s">
        <v>129</v>
      </c>
      <c r="K215" s="34">
        <v>23000.0</v>
      </c>
      <c r="L215" s="65">
        <v>2409.08</v>
      </c>
      <c r="M215" s="65">
        <v>1992.05</v>
      </c>
      <c r="N215" s="65"/>
      <c r="O215" s="65">
        <f t="shared" si="57"/>
        <v>0</v>
      </c>
      <c r="P215" s="35">
        <f t="shared" si="3"/>
        <v>2521.61</v>
      </c>
      <c r="Q215" s="36">
        <f t="shared" si="4"/>
        <v>0.1193916994</v>
      </c>
      <c r="R215" s="36">
        <f t="shared" si="5"/>
        <v>0.8806083006</v>
      </c>
      <c r="S215" s="37"/>
      <c r="T215" s="5"/>
      <c r="U215" s="54"/>
      <c r="V215" s="55"/>
      <c r="W215" s="55"/>
      <c r="X215" s="56"/>
      <c r="Y215" s="55"/>
      <c r="Z215" s="55" t="str">
        <f t="shared" si="43"/>
        <v/>
      </c>
      <c r="AA215" s="57">
        <f t="shared" si="44"/>
        <v>0</v>
      </c>
      <c r="AB215" s="5"/>
      <c r="AC215" s="42">
        <f t="shared" si="6"/>
        <v>0</v>
      </c>
      <c r="AD215" s="3">
        <f t="shared" si="7"/>
        <v>1</v>
      </c>
      <c r="AE215" s="3">
        <f t="shared" si="8"/>
        <v>0</v>
      </c>
      <c r="AF215" s="43">
        <f t="shared" si="9"/>
        <v>0</v>
      </c>
      <c r="AG215" s="44">
        <f t="shared" si="10"/>
        <v>0</v>
      </c>
      <c r="AH215" s="45">
        <f t="shared" si="11"/>
        <v>0</v>
      </c>
      <c r="AI215" s="46">
        <f t="shared" si="12"/>
        <v>0</v>
      </c>
      <c r="AJ215" s="47">
        <f t="shared" si="13"/>
        <v>0</v>
      </c>
      <c r="AK215" s="5"/>
      <c r="AL215" s="42">
        <f t="shared" si="14"/>
        <v>1</v>
      </c>
      <c r="AM215" s="3">
        <f t="shared" si="15"/>
        <v>1</v>
      </c>
      <c r="AN215" s="3">
        <f t="shared" si="16"/>
        <v>1</v>
      </c>
      <c r="AO215" s="3">
        <f t="shared" si="17"/>
        <v>1992.05</v>
      </c>
      <c r="AP215" s="44">
        <f t="shared" si="18"/>
        <v>21120.48</v>
      </c>
      <c r="AQ215" s="48">
        <f t="shared" si="19"/>
        <v>4.866666667</v>
      </c>
      <c r="AR215" s="46">
        <f t="shared" si="20"/>
        <v>0.003704990233</v>
      </c>
      <c r="AS215" s="47">
        <f t="shared" si="21"/>
        <v>0.0004423450803</v>
      </c>
      <c r="AT215" s="5"/>
      <c r="AU215" s="49">
        <f t="shared" si="27"/>
        <v>21120.48</v>
      </c>
      <c r="AV215" s="50">
        <f t="shared" si="23"/>
        <v>1</v>
      </c>
      <c r="AW215" s="51">
        <f t="shared" si="24"/>
        <v>0.002049176264</v>
      </c>
      <c r="AX215" s="52">
        <f t="shared" si="25"/>
        <v>0.0002446546366</v>
      </c>
      <c r="AY215" s="5"/>
      <c r="AZ215" s="53">
        <f t="shared" si="26"/>
        <v>1</v>
      </c>
      <c r="BA215" s="5"/>
      <c r="BB215" s="5"/>
      <c r="BC215" s="5"/>
    </row>
    <row r="216" ht="12.75" customHeight="1">
      <c r="A216" s="69"/>
      <c r="B216" s="62" t="s">
        <v>393</v>
      </c>
      <c r="C216" s="62"/>
      <c r="D216" s="63">
        <v>23705.96</v>
      </c>
      <c r="E216" s="29" t="s">
        <v>39</v>
      </c>
      <c r="F216" s="30">
        <v>41120.0</v>
      </c>
      <c r="G216" s="32" t="s">
        <v>40</v>
      </c>
      <c r="H216" s="30">
        <v>41356.0</v>
      </c>
      <c r="I216" s="32">
        <f t="shared" si="1"/>
        <v>7.866666667</v>
      </c>
      <c r="J216" s="64" t="s">
        <v>394</v>
      </c>
      <c r="K216" s="34">
        <v>25000.0</v>
      </c>
      <c r="L216" s="115">
        <v>1072.37</v>
      </c>
      <c r="M216" s="65">
        <v>435.5</v>
      </c>
      <c r="N216" s="65">
        <v>0.0</v>
      </c>
      <c r="O216" s="65">
        <v>0.0</v>
      </c>
      <c r="P216" s="35">
        <f t="shared" si="3"/>
        <v>213.83</v>
      </c>
      <c r="Q216" s="36">
        <f t="shared" si="4"/>
        <v>0.009020094525</v>
      </c>
      <c r="R216" s="36">
        <f t="shared" si="5"/>
        <v>0.9909799055</v>
      </c>
      <c r="S216" s="37"/>
      <c r="T216" s="5"/>
      <c r="U216" s="54">
        <v>166.35</v>
      </c>
      <c r="V216" s="55">
        <v>1206.2</v>
      </c>
      <c r="W216" s="55">
        <f t="shared" ref="W216:W218" si="60">U216+V216</f>
        <v>1372.55</v>
      </c>
      <c r="X216" s="56">
        <v>0.0775</v>
      </c>
      <c r="Y216" s="55">
        <f t="shared" ref="Y216:Y218" si="61">((X216*D216)/365)*180</f>
        <v>906.0223068</v>
      </c>
      <c r="Z216" s="55">
        <f t="shared" si="43"/>
        <v>906.0223068</v>
      </c>
      <c r="AA216" s="57">
        <f t="shared" si="44"/>
        <v>1072.372307</v>
      </c>
      <c r="AB216" s="5"/>
      <c r="AC216" s="42">
        <f t="shared" si="6"/>
        <v>0</v>
      </c>
      <c r="AD216" s="3">
        <f t="shared" si="7"/>
        <v>1</v>
      </c>
      <c r="AE216" s="3">
        <f t="shared" si="8"/>
        <v>0</v>
      </c>
      <c r="AF216" s="43">
        <f t="shared" si="9"/>
        <v>0</v>
      </c>
      <c r="AG216" s="44">
        <f t="shared" si="10"/>
        <v>0</v>
      </c>
      <c r="AH216" s="45">
        <f t="shared" si="11"/>
        <v>0</v>
      </c>
      <c r="AI216" s="46">
        <f t="shared" si="12"/>
        <v>0</v>
      </c>
      <c r="AJ216" s="47">
        <f t="shared" si="13"/>
        <v>0</v>
      </c>
      <c r="AK216" s="5"/>
      <c r="AL216" s="42">
        <f t="shared" si="14"/>
        <v>1</v>
      </c>
      <c r="AM216" s="3">
        <f t="shared" si="15"/>
        <v>1</v>
      </c>
      <c r="AN216" s="3">
        <f t="shared" si="16"/>
        <v>1</v>
      </c>
      <c r="AO216" s="3">
        <f t="shared" si="17"/>
        <v>435.5</v>
      </c>
      <c r="AP216" s="44">
        <f t="shared" si="18"/>
        <v>23705.96</v>
      </c>
      <c r="AQ216" s="48">
        <f t="shared" si="19"/>
        <v>7.866666667</v>
      </c>
      <c r="AR216" s="46">
        <f t="shared" si="20"/>
        <v>0.004158539497</v>
      </c>
      <c r="AS216" s="47">
        <f t="shared" si="21"/>
        <v>0.00003751041935</v>
      </c>
      <c r="AT216" s="5"/>
      <c r="AU216" s="49">
        <f t="shared" si="27"/>
        <v>23705.96</v>
      </c>
      <c r="AV216" s="50">
        <f t="shared" si="23"/>
        <v>1</v>
      </c>
      <c r="AW216" s="51">
        <f t="shared" si="24"/>
        <v>0.002300027772</v>
      </c>
      <c r="AX216" s="52">
        <f t="shared" si="25"/>
        <v>0.00002074646791</v>
      </c>
      <c r="AY216" s="5"/>
      <c r="AZ216" s="53">
        <f t="shared" si="26"/>
        <v>1</v>
      </c>
      <c r="BA216" s="5"/>
      <c r="BB216" s="5"/>
      <c r="BC216" s="5"/>
    </row>
    <row r="217" ht="12.75" customHeight="1">
      <c r="A217" s="25"/>
      <c r="B217" s="27" t="s">
        <v>395</v>
      </c>
      <c r="C217" s="27"/>
      <c r="D217" s="63">
        <v>23018.15</v>
      </c>
      <c r="E217" s="29" t="s">
        <v>39</v>
      </c>
      <c r="F217" s="30">
        <v>41120.0</v>
      </c>
      <c r="G217" s="32" t="s">
        <v>40</v>
      </c>
      <c r="H217" s="30">
        <v>41395.0</v>
      </c>
      <c r="I217" s="32">
        <f t="shared" si="1"/>
        <v>9.166666667</v>
      </c>
      <c r="J217" s="33" t="s">
        <v>396</v>
      </c>
      <c r="K217" s="34">
        <v>23000.0</v>
      </c>
      <c r="L217" s="112">
        <v>1373.53</v>
      </c>
      <c r="M217" s="35">
        <v>1267.36</v>
      </c>
      <c r="N217" s="35">
        <v>0.0</v>
      </c>
      <c r="O217" s="35">
        <v>0.0</v>
      </c>
      <c r="P217" s="35">
        <f t="shared" si="3"/>
        <v>2659.04</v>
      </c>
      <c r="Q217" s="36">
        <f t="shared" si="4"/>
        <v>0.115519275</v>
      </c>
      <c r="R217" s="36">
        <f t="shared" si="5"/>
        <v>0.884480725</v>
      </c>
      <c r="S217" s="37"/>
      <c r="T217" s="5"/>
      <c r="U217" s="54">
        <v>493.8</v>
      </c>
      <c r="V217" s="55">
        <v>2502.45</v>
      </c>
      <c r="W217" s="55">
        <f t="shared" si="60"/>
        <v>2996.25</v>
      </c>
      <c r="X217" s="56">
        <v>0.0775</v>
      </c>
      <c r="Y217" s="55">
        <f t="shared" si="61"/>
        <v>879.734774</v>
      </c>
      <c r="Z217" s="55">
        <f t="shared" si="43"/>
        <v>879.734774</v>
      </c>
      <c r="AA217" s="57">
        <f t="shared" si="44"/>
        <v>1373.534774</v>
      </c>
      <c r="AB217" s="5"/>
      <c r="AC217" s="42">
        <f t="shared" si="6"/>
        <v>0</v>
      </c>
      <c r="AD217" s="3">
        <f t="shared" si="7"/>
        <v>1</v>
      </c>
      <c r="AE217" s="3">
        <f t="shared" si="8"/>
        <v>0</v>
      </c>
      <c r="AF217" s="43">
        <f t="shared" si="9"/>
        <v>0</v>
      </c>
      <c r="AG217" s="44">
        <f t="shared" si="10"/>
        <v>0</v>
      </c>
      <c r="AH217" s="45">
        <f t="shared" si="11"/>
        <v>0</v>
      </c>
      <c r="AI217" s="46">
        <f t="shared" si="12"/>
        <v>0</v>
      </c>
      <c r="AJ217" s="47">
        <f t="shared" si="13"/>
        <v>0</v>
      </c>
      <c r="AK217" s="5"/>
      <c r="AL217" s="42">
        <f t="shared" si="14"/>
        <v>1</v>
      </c>
      <c r="AM217" s="3">
        <f t="shared" si="15"/>
        <v>1</v>
      </c>
      <c r="AN217" s="3">
        <f t="shared" si="16"/>
        <v>1</v>
      </c>
      <c r="AO217" s="3">
        <f t="shared" si="17"/>
        <v>1267.36</v>
      </c>
      <c r="AP217" s="44">
        <f t="shared" si="18"/>
        <v>23018.15</v>
      </c>
      <c r="AQ217" s="48">
        <f t="shared" si="19"/>
        <v>9.166666667</v>
      </c>
      <c r="AR217" s="46">
        <f t="shared" si="20"/>
        <v>0.004037882706</v>
      </c>
      <c r="AS217" s="47">
        <f t="shared" si="21"/>
        <v>0.0004664532828</v>
      </c>
      <c r="AT217" s="5"/>
      <c r="AU217" s="49">
        <f t="shared" si="27"/>
        <v>23018.15</v>
      </c>
      <c r="AV217" s="50">
        <f t="shared" si="23"/>
        <v>1</v>
      </c>
      <c r="AW217" s="51">
        <f t="shared" si="24"/>
        <v>0.002233294254</v>
      </c>
      <c r="AX217" s="52">
        <f t="shared" si="25"/>
        <v>0.0002579885331</v>
      </c>
      <c r="AY217" s="5"/>
      <c r="AZ217" s="53">
        <f t="shared" si="26"/>
        <v>1</v>
      </c>
      <c r="BA217" s="5"/>
      <c r="BB217" s="5"/>
      <c r="BC217" s="5"/>
    </row>
    <row r="218" ht="12.75" customHeight="1">
      <c r="A218" s="25"/>
      <c r="B218" s="27" t="s">
        <v>397</v>
      </c>
      <c r="C218" s="89"/>
      <c r="D218" s="63">
        <v>20366.21</v>
      </c>
      <c r="E218" s="94" t="s">
        <v>39</v>
      </c>
      <c r="F218" s="91">
        <v>41120.0</v>
      </c>
      <c r="G218" s="32" t="s">
        <v>40</v>
      </c>
      <c r="H218" s="91">
        <v>41487.0</v>
      </c>
      <c r="I218" s="32">
        <f t="shared" si="1"/>
        <v>12.23333333</v>
      </c>
      <c r="J218" s="64" t="s">
        <v>398</v>
      </c>
      <c r="K218" s="70">
        <v>16000.0</v>
      </c>
      <c r="L218" s="115">
        <v>984.24</v>
      </c>
      <c r="M218" s="65">
        <v>2337.91</v>
      </c>
      <c r="N218" s="65">
        <v>688.94</v>
      </c>
      <c r="O218" s="65">
        <v>0.0</v>
      </c>
      <c r="P218" s="35">
        <f t="shared" si="3"/>
        <v>8377.3</v>
      </c>
      <c r="Q218" s="36">
        <f t="shared" si="4"/>
        <v>0.4113332819</v>
      </c>
      <c r="R218" s="36">
        <f t="shared" si="5"/>
        <v>0.5886667181</v>
      </c>
      <c r="S218" s="37"/>
      <c r="T218" s="5"/>
      <c r="U218" s="54">
        <v>205.86</v>
      </c>
      <c r="V218" s="55">
        <v>1644.28</v>
      </c>
      <c r="W218" s="55">
        <f t="shared" si="60"/>
        <v>1850.14</v>
      </c>
      <c r="X218" s="56">
        <v>0.0775</v>
      </c>
      <c r="Y218" s="55">
        <f t="shared" si="61"/>
        <v>778.3798068</v>
      </c>
      <c r="Z218" s="55">
        <f t="shared" si="43"/>
        <v>778.3798068</v>
      </c>
      <c r="AA218" s="57">
        <f t="shared" si="44"/>
        <v>984.2398068</v>
      </c>
      <c r="AB218" s="5"/>
      <c r="AC218" s="42">
        <f t="shared" si="6"/>
        <v>0</v>
      </c>
      <c r="AD218" s="3">
        <f t="shared" si="7"/>
        <v>1</v>
      </c>
      <c r="AE218" s="3">
        <f t="shared" si="8"/>
        <v>0</v>
      </c>
      <c r="AF218" s="43">
        <f t="shared" si="9"/>
        <v>0</v>
      </c>
      <c r="AG218" s="44">
        <f t="shared" si="10"/>
        <v>0</v>
      </c>
      <c r="AH218" s="45">
        <f t="shared" si="11"/>
        <v>0</v>
      </c>
      <c r="AI218" s="46">
        <f t="shared" si="12"/>
        <v>0</v>
      </c>
      <c r="AJ218" s="47">
        <f t="shared" si="13"/>
        <v>0</v>
      </c>
      <c r="AK218" s="5"/>
      <c r="AL218" s="42">
        <f t="shared" si="14"/>
        <v>1</v>
      </c>
      <c r="AM218" s="3">
        <f t="shared" si="15"/>
        <v>1</v>
      </c>
      <c r="AN218" s="3">
        <f t="shared" si="16"/>
        <v>1</v>
      </c>
      <c r="AO218" s="3">
        <f t="shared" si="17"/>
        <v>3026.85</v>
      </c>
      <c r="AP218" s="44">
        <f t="shared" si="18"/>
        <v>20366.21</v>
      </c>
      <c r="AQ218" s="48">
        <f t="shared" si="19"/>
        <v>12.23333333</v>
      </c>
      <c r="AR218" s="46">
        <f t="shared" si="20"/>
        <v>0.003572674917</v>
      </c>
      <c r="AS218" s="47">
        <f t="shared" si="21"/>
        <v>0.001469560099</v>
      </c>
      <c r="AT218" s="5"/>
      <c r="AU218" s="49">
        <f t="shared" si="27"/>
        <v>20366.21</v>
      </c>
      <c r="AV218" s="50">
        <f t="shared" si="23"/>
        <v>1</v>
      </c>
      <c r="AW218" s="51">
        <f t="shared" si="24"/>
        <v>0.001975994585</v>
      </c>
      <c r="AX218" s="52">
        <f t="shared" si="25"/>
        <v>0.0008127923379</v>
      </c>
      <c r="AY218" s="5"/>
      <c r="AZ218" s="53">
        <f t="shared" si="26"/>
        <v>1</v>
      </c>
      <c r="BA218" s="5"/>
      <c r="BB218" s="5"/>
      <c r="BC218" s="5"/>
    </row>
    <row r="219" ht="12.75" customHeight="1">
      <c r="A219" s="25"/>
      <c r="B219" s="27" t="s">
        <v>399</v>
      </c>
      <c r="C219" s="89"/>
      <c r="D219" s="63">
        <v>19366.0</v>
      </c>
      <c r="E219" s="94" t="s">
        <v>49</v>
      </c>
      <c r="F219" s="91">
        <v>41121.0</v>
      </c>
      <c r="G219" s="32" t="s">
        <v>40</v>
      </c>
      <c r="H219" s="30">
        <v>41121.0</v>
      </c>
      <c r="I219" s="32">
        <f t="shared" si="1"/>
        <v>0</v>
      </c>
      <c r="J219" s="64" t="s">
        <v>400</v>
      </c>
      <c r="K219" s="70">
        <v>24000.0</v>
      </c>
      <c r="L219" s="35">
        <v>0.0</v>
      </c>
      <c r="M219" s="35">
        <v>0.0</v>
      </c>
      <c r="N219" s="35">
        <v>0.0</v>
      </c>
      <c r="O219" s="65">
        <f>IF(K219="N/A",0,IF(K219-D219&gt;0,0,D219-K219))</f>
        <v>0</v>
      </c>
      <c r="P219" s="35">
        <f t="shared" si="3"/>
        <v>0</v>
      </c>
      <c r="Q219" s="36">
        <f t="shared" si="4"/>
        <v>0</v>
      </c>
      <c r="R219" s="36">
        <f t="shared" si="5"/>
        <v>1</v>
      </c>
      <c r="S219" s="37"/>
      <c r="T219" s="5"/>
      <c r="U219" s="54"/>
      <c r="V219" s="55"/>
      <c r="W219" s="55"/>
      <c r="X219" s="56"/>
      <c r="Y219" s="55"/>
      <c r="Z219" s="55" t="str">
        <f t="shared" si="43"/>
        <v/>
      </c>
      <c r="AA219" s="57">
        <f t="shared" si="44"/>
        <v>0</v>
      </c>
      <c r="AB219" s="5"/>
      <c r="AC219" s="42">
        <f t="shared" si="6"/>
        <v>1</v>
      </c>
      <c r="AD219" s="3">
        <f t="shared" si="7"/>
        <v>1</v>
      </c>
      <c r="AE219" s="3">
        <f t="shared" si="8"/>
        <v>1</v>
      </c>
      <c r="AF219" s="43">
        <f t="shared" si="9"/>
        <v>0</v>
      </c>
      <c r="AG219" s="44">
        <f t="shared" si="10"/>
        <v>19366</v>
      </c>
      <c r="AH219" s="45">
        <f t="shared" si="11"/>
        <v>0</v>
      </c>
      <c r="AI219" s="46">
        <f t="shared" si="12"/>
        <v>0.004190861538</v>
      </c>
      <c r="AJ219" s="47">
        <f t="shared" si="13"/>
        <v>0</v>
      </c>
      <c r="AK219" s="5"/>
      <c r="AL219" s="42">
        <f t="shared" si="14"/>
        <v>0</v>
      </c>
      <c r="AM219" s="3">
        <f t="shared" si="15"/>
        <v>1</v>
      </c>
      <c r="AN219" s="3">
        <f t="shared" si="16"/>
        <v>0</v>
      </c>
      <c r="AO219" s="3">
        <f t="shared" si="17"/>
        <v>0</v>
      </c>
      <c r="AP219" s="44">
        <f t="shared" si="18"/>
        <v>0</v>
      </c>
      <c r="AQ219" s="48">
        <f t="shared" si="19"/>
        <v>0</v>
      </c>
      <c r="AR219" s="46">
        <f t="shared" si="20"/>
        <v>0</v>
      </c>
      <c r="AS219" s="47">
        <f t="shared" si="21"/>
        <v>0</v>
      </c>
      <c r="AT219" s="5"/>
      <c r="AU219" s="49">
        <f t="shared" si="27"/>
        <v>19366</v>
      </c>
      <c r="AV219" s="50">
        <f t="shared" si="23"/>
        <v>1</v>
      </c>
      <c r="AW219" s="51">
        <f t="shared" si="24"/>
        <v>0.001878951024</v>
      </c>
      <c r="AX219" s="52">
        <f t="shared" si="25"/>
        <v>0</v>
      </c>
      <c r="AY219" s="5"/>
      <c r="AZ219" s="53">
        <f t="shared" si="26"/>
        <v>1</v>
      </c>
      <c r="BA219" s="5"/>
      <c r="BB219" s="5"/>
      <c r="BC219" s="5"/>
    </row>
    <row r="220" ht="12.75" customHeight="1">
      <c r="A220" s="25"/>
      <c r="B220" s="27" t="s">
        <v>401</v>
      </c>
      <c r="C220" s="27"/>
      <c r="D220" s="63">
        <v>10937.13</v>
      </c>
      <c r="E220" s="29" t="s">
        <v>39</v>
      </c>
      <c r="F220" s="30">
        <v>41183.0</v>
      </c>
      <c r="G220" s="32" t="s">
        <v>40</v>
      </c>
      <c r="H220" s="30">
        <v>41395.0</v>
      </c>
      <c r="I220" s="32">
        <f t="shared" si="1"/>
        <v>7.066666667</v>
      </c>
      <c r="J220" s="33" t="s">
        <v>402</v>
      </c>
      <c r="K220" s="34">
        <v>12000.0</v>
      </c>
      <c r="L220" s="112">
        <v>418.01</v>
      </c>
      <c r="M220" s="35">
        <v>1438.36</v>
      </c>
      <c r="N220" s="35">
        <v>0.0</v>
      </c>
      <c r="O220" s="35">
        <v>0.0</v>
      </c>
      <c r="P220" s="35">
        <f t="shared" si="3"/>
        <v>793.5</v>
      </c>
      <c r="Q220" s="36">
        <f t="shared" si="4"/>
        <v>0.07255102573</v>
      </c>
      <c r="R220" s="36">
        <f t="shared" si="5"/>
        <v>0.9274489743</v>
      </c>
      <c r="S220" s="37"/>
      <c r="T220" s="5"/>
      <c r="U220" s="54">
        <v>0.0</v>
      </c>
      <c r="V220" s="55">
        <v>464.01</v>
      </c>
      <c r="W220" s="55">
        <f>U220+V220</f>
        <v>464.01</v>
      </c>
      <c r="X220" s="56">
        <v>0.0775</v>
      </c>
      <c r="Y220" s="55">
        <f>((X220*D220)/365)*180</f>
        <v>418.0081192</v>
      </c>
      <c r="Z220" s="55">
        <f t="shared" si="43"/>
        <v>418.0081192</v>
      </c>
      <c r="AA220" s="57">
        <f t="shared" si="44"/>
        <v>418.0081192</v>
      </c>
      <c r="AB220" s="5"/>
      <c r="AC220" s="42">
        <f t="shared" si="6"/>
        <v>0</v>
      </c>
      <c r="AD220" s="3">
        <f t="shared" si="7"/>
        <v>1</v>
      </c>
      <c r="AE220" s="3">
        <f t="shared" si="8"/>
        <v>0</v>
      </c>
      <c r="AF220" s="43">
        <f t="shared" si="9"/>
        <v>0</v>
      </c>
      <c r="AG220" s="44">
        <f t="shared" si="10"/>
        <v>0</v>
      </c>
      <c r="AH220" s="45">
        <f t="shared" si="11"/>
        <v>0</v>
      </c>
      <c r="AI220" s="46">
        <f t="shared" si="12"/>
        <v>0</v>
      </c>
      <c r="AJ220" s="47">
        <f t="shared" si="13"/>
        <v>0</v>
      </c>
      <c r="AK220" s="5"/>
      <c r="AL220" s="42">
        <f t="shared" si="14"/>
        <v>1</v>
      </c>
      <c r="AM220" s="3">
        <f t="shared" si="15"/>
        <v>1</v>
      </c>
      <c r="AN220" s="3">
        <f t="shared" si="16"/>
        <v>1</v>
      </c>
      <c r="AO220" s="3">
        <f t="shared" si="17"/>
        <v>1438.36</v>
      </c>
      <c r="AP220" s="44">
        <f t="shared" si="18"/>
        <v>10937.13</v>
      </c>
      <c r="AQ220" s="48">
        <f t="shared" si="19"/>
        <v>7.066666667</v>
      </c>
      <c r="AR220" s="46">
        <f t="shared" si="20"/>
        <v>0.001918609796</v>
      </c>
      <c r="AS220" s="47">
        <f t="shared" si="21"/>
        <v>0.0001391971087</v>
      </c>
      <c r="AT220" s="5"/>
      <c r="AU220" s="49">
        <f t="shared" si="27"/>
        <v>10937.13</v>
      </c>
      <c r="AV220" s="50">
        <f t="shared" si="23"/>
        <v>1</v>
      </c>
      <c r="AW220" s="51">
        <f t="shared" si="24"/>
        <v>0.001061155201</v>
      </c>
      <c r="AX220" s="52">
        <f t="shared" si="25"/>
        <v>0.00007698789826</v>
      </c>
      <c r="AY220" s="5"/>
      <c r="AZ220" s="53">
        <f t="shared" si="26"/>
        <v>1</v>
      </c>
      <c r="BA220" s="5"/>
      <c r="BB220" s="5"/>
      <c r="BC220" s="5"/>
    </row>
    <row r="221" ht="12.75" customHeight="1">
      <c r="A221" s="25"/>
      <c r="B221" s="27" t="s">
        <v>403</v>
      </c>
      <c r="C221" s="107"/>
      <c r="D221" s="63">
        <v>12324.0</v>
      </c>
      <c r="E221" s="94" t="s">
        <v>39</v>
      </c>
      <c r="F221" s="30">
        <v>41250.0</v>
      </c>
      <c r="G221" s="88" t="s">
        <v>40</v>
      </c>
      <c r="H221" s="30">
        <v>41250.0</v>
      </c>
      <c r="I221" s="32">
        <f t="shared" si="1"/>
        <v>0</v>
      </c>
      <c r="J221" s="33" t="s">
        <v>404</v>
      </c>
      <c r="K221" s="34">
        <v>13000.0</v>
      </c>
      <c r="L221" s="35">
        <v>0.0</v>
      </c>
      <c r="M221" s="35">
        <v>0.0</v>
      </c>
      <c r="N221" s="35">
        <v>0.0</v>
      </c>
      <c r="O221" s="65">
        <f>IF(K221="N/A",0,IF(K221-D221&gt;0,0,D221-K221))</f>
        <v>0</v>
      </c>
      <c r="P221" s="35">
        <f t="shared" si="3"/>
        <v>0</v>
      </c>
      <c r="Q221" s="36">
        <f t="shared" si="4"/>
        <v>0</v>
      </c>
      <c r="R221" s="36">
        <f t="shared" si="5"/>
        <v>1</v>
      </c>
      <c r="S221" s="37"/>
      <c r="T221" s="5"/>
      <c r="U221" s="54"/>
      <c r="V221" s="55"/>
      <c r="W221" s="55"/>
      <c r="X221" s="56"/>
      <c r="Y221" s="55"/>
      <c r="Z221" s="55" t="str">
        <f t="shared" si="43"/>
        <v/>
      </c>
      <c r="AA221" s="57">
        <f t="shared" si="44"/>
        <v>0</v>
      </c>
      <c r="AB221" s="5"/>
      <c r="AC221" s="42">
        <f t="shared" si="6"/>
        <v>0</v>
      </c>
      <c r="AD221" s="3">
        <f t="shared" si="7"/>
        <v>1</v>
      </c>
      <c r="AE221" s="3">
        <f t="shared" si="8"/>
        <v>0</v>
      </c>
      <c r="AF221" s="43">
        <f t="shared" si="9"/>
        <v>0</v>
      </c>
      <c r="AG221" s="44">
        <f t="shared" si="10"/>
        <v>0</v>
      </c>
      <c r="AH221" s="45">
        <f t="shared" si="11"/>
        <v>0</v>
      </c>
      <c r="AI221" s="46">
        <f t="shared" si="12"/>
        <v>0</v>
      </c>
      <c r="AJ221" s="47">
        <f t="shared" si="13"/>
        <v>0</v>
      </c>
      <c r="AK221" s="5"/>
      <c r="AL221" s="42">
        <f t="shared" si="14"/>
        <v>1</v>
      </c>
      <c r="AM221" s="3">
        <f t="shared" si="15"/>
        <v>1</v>
      </c>
      <c r="AN221" s="3">
        <f t="shared" si="16"/>
        <v>1</v>
      </c>
      <c r="AO221" s="3">
        <f t="shared" si="17"/>
        <v>0</v>
      </c>
      <c r="AP221" s="44">
        <f t="shared" si="18"/>
        <v>12324</v>
      </c>
      <c r="AQ221" s="48">
        <f t="shared" si="19"/>
        <v>0</v>
      </c>
      <c r="AR221" s="46">
        <f t="shared" si="20"/>
        <v>0.002161896871</v>
      </c>
      <c r="AS221" s="47">
        <f t="shared" si="21"/>
        <v>0</v>
      </c>
      <c r="AT221" s="5"/>
      <c r="AU221" s="49">
        <f t="shared" si="27"/>
        <v>12324</v>
      </c>
      <c r="AV221" s="50">
        <f t="shared" si="23"/>
        <v>1</v>
      </c>
      <c r="AW221" s="51">
        <f t="shared" si="24"/>
        <v>0.001195713747</v>
      </c>
      <c r="AX221" s="52">
        <f t="shared" si="25"/>
        <v>0</v>
      </c>
      <c r="AY221" s="5"/>
      <c r="AZ221" s="53">
        <f t="shared" si="26"/>
        <v>1</v>
      </c>
      <c r="BA221" s="5"/>
      <c r="BB221" s="5"/>
      <c r="BC221" s="5"/>
    </row>
    <row r="222" ht="12.75" customHeight="1">
      <c r="A222" s="25"/>
      <c r="B222" s="62" t="s">
        <v>405</v>
      </c>
      <c r="C222" s="62"/>
      <c r="D222" s="63">
        <v>15672.0</v>
      </c>
      <c r="E222" s="94" t="s">
        <v>39</v>
      </c>
      <c r="F222" s="30">
        <v>41251.0</v>
      </c>
      <c r="G222" s="32" t="s">
        <v>40</v>
      </c>
      <c r="H222" s="30">
        <v>42338.0</v>
      </c>
      <c r="I222" s="32">
        <f t="shared" si="1"/>
        <v>36.23333333</v>
      </c>
      <c r="J222" s="33" t="s">
        <v>406</v>
      </c>
      <c r="K222" s="34">
        <v>5000.0</v>
      </c>
      <c r="L222" s="112">
        <v>851.77</v>
      </c>
      <c r="M222" s="65">
        <v>1773.78</v>
      </c>
      <c r="N222" s="65">
        <v>0.0</v>
      </c>
      <c r="O222" s="65">
        <v>0.0</v>
      </c>
      <c r="P222" s="35">
        <f t="shared" si="3"/>
        <v>13297.55</v>
      </c>
      <c r="Q222" s="36">
        <f t="shared" si="4"/>
        <v>0.8484909393</v>
      </c>
      <c r="R222" s="36">
        <f t="shared" si="5"/>
        <v>0.1515090607</v>
      </c>
      <c r="S222" s="37"/>
      <c r="T222" s="5"/>
      <c r="U222" s="54">
        <v>252.8</v>
      </c>
      <c r="V222" s="55">
        <v>1670.67</v>
      </c>
      <c r="W222" s="55">
        <f t="shared" ref="W222:W392" si="62">U222+V222</f>
        <v>1923.47</v>
      </c>
      <c r="X222" s="56">
        <v>0.0775</v>
      </c>
      <c r="Y222" s="55">
        <f t="shared" ref="Y222:Y410" si="63">((X222*D222)/365)*180</f>
        <v>598.9709589</v>
      </c>
      <c r="Z222" s="55">
        <f t="shared" si="43"/>
        <v>598.9709589</v>
      </c>
      <c r="AA222" s="57">
        <f t="shared" si="44"/>
        <v>851.7709589</v>
      </c>
      <c r="AB222" s="5"/>
      <c r="AC222" s="42">
        <f t="shared" si="6"/>
        <v>0</v>
      </c>
      <c r="AD222" s="3">
        <f t="shared" si="7"/>
        <v>1</v>
      </c>
      <c r="AE222" s="3">
        <f t="shared" si="8"/>
        <v>0</v>
      </c>
      <c r="AF222" s="43">
        <f t="shared" si="9"/>
        <v>0</v>
      </c>
      <c r="AG222" s="44">
        <f t="shared" si="10"/>
        <v>0</v>
      </c>
      <c r="AH222" s="45">
        <f t="shared" si="11"/>
        <v>0</v>
      </c>
      <c r="AI222" s="46">
        <f t="shared" si="12"/>
        <v>0</v>
      </c>
      <c r="AJ222" s="47">
        <f t="shared" si="13"/>
        <v>0</v>
      </c>
      <c r="AK222" s="5"/>
      <c r="AL222" s="42">
        <f t="shared" si="14"/>
        <v>1</v>
      </c>
      <c r="AM222" s="3">
        <f t="shared" si="15"/>
        <v>1</v>
      </c>
      <c r="AN222" s="3">
        <f t="shared" si="16"/>
        <v>1</v>
      </c>
      <c r="AO222" s="3">
        <f t="shared" si="17"/>
        <v>1773.78</v>
      </c>
      <c r="AP222" s="44">
        <f t="shared" si="18"/>
        <v>15672</v>
      </c>
      <c r="AQ222" s="48">
        <f t="shared" si="19"/>
        <v>36.23333333</v>
      </c>
      <c r="AR222" s="46">
        <f t="shared" si="20"/>
        <v>0.00274920868</v>
      </c>
      <c r="AS222" s="47">
        <f t="shared" si="21"/>
        <v>0.002332678655</v>
      </c>
      <c r="AT222" s="5"/>
      <c r="AU222" s="49">
        <f t="shared" si="27"/>
        <v>15672</v>
      </c>
      <c r="AV222" s="50">
        <f t="shared" si="23"/>
        <v>1</v>
      </c>
      <c r="AW222" s="51">
        <f t="shared" si="24"/>
        <v>0.001520547374</v>
      </c>
      <c r="AX222" s="52">
        <f t="shared" si="25"/>
        <v>0.00129017067</v>
      </c>
      <c r="AY222" s="5"/>
      <c r="AZ222" s="53">
        <f t="shared" si="26"/>
        <v>1</v>
      </c>
      <c r="BA222" s="5"/>
      <c r="BB222" s="5"/>
      <c r="BC222" s="5"/>
    </row>
    <row r="223" ht="12.75" customHeight="1">
      <c r="A223" s="25"/>
      <c r="B223" s="27" t="s">
        <v>407</v>
      </c>
      <c r="C223" s="27"/>
      <c r="D223" s="63">
        <v>51216.08</v>
      </c>
      <c r="E223" s="29" t="s">
        <v>39</v>
      </c>
      <c r="F223" s="30">
        <v>41264.0</v>
      </c>
      <c r="G223" s="31" t="s">
        <v>40</v>
      </c>
      <c r="H223" s="30">
        <v>41391.0</v>
      </c>
      <c r="I223" s="32">
        <f t="shared" si="1"/>
        <v>4.233333333</v>
      </c>
      <c r="J223" s="33" t="s">
        <v>408</v>
      </c>
      <c r="K223" s="34">
        <v>56000.0</v>
      </c>
      <c r="L223" s="112">
        <v>2696.28</v>
      </c>
      <c r="M223" s="35">
        <v>5189.23</v>
      </c>
      <c r="N223" s="35">
        <v>0.0</v>
      </c>
      <c r="O223" s="35">
        <v>0.0</v>
      </c>
      <c r="P223" s="35">
        <f t="shared" si="3"/>
        <v>3101.59</v>
      </c>
      <c r="Q223" s="36">
        <f t="shared" si="4"/>
        <v>0.0605589104</v>
      </c>
      <c r="R223" s="36">
        <f t="shared" si="5"/>
        <v>0.9394410896</v>
      </c>
      <c r="S223" s="37"/>
      <c r="T223" s="5"/>
      <c r="U223" s="54">
        <v>738.84</v>
      </c>
      <c r="V223" s="55">
        <v>4360.74</v>
      </c>
      <c r="W223" s="55">
        <f t="shared" si="62"/>
        <v>5099.58</v>
      </c>
      <c r="X223" s="56">
        <v>0.0775</v>
      </c>
      <c r="Y223" s="55">
        <f t="shared" si="63"/>
        <v>1957.436482</v>
      </c>
      <c r="Z223" s="55">
        <f t="shared" si="43"/>
        <v>1957.436482</v>
      </c>
      <c r="AA223" s="57">
        <f t="shared" si="44"/>
        <v>2696.276482</v>
      </c>
      <c r="AB223" s="5"/>
      <c r="AC223" s="42">
        <f t="shared" si="6"/>
        <v>0</v>
      </c>
      <c r="AD223" s="3">
        <f t="shared" si="7"/>
        <v>1</v>
      </c>
      <c r="AE223" s="3">
        <f t="shared" si="8"/>
        <v>0</v>
      </c>
      <c r="AF223" s="43">
        <f t="shared" si="9"/>
        <v>0</v>
      </c>
      <c r="AG223" s="44">
        <f t="shared" si="10"/>
        <v>0</v>
      </c>
      <c r="AH223" s="45">
        <f t="shared" si="11"/>
        <v>0</v>
      </c>
      <c r="AI223" s="46">
        <f t="shared" si="12"/>
        <v>0</v>
      </c>
      <c r="AJ223" s="47">
        <f t="shared" si="13"/>
        <v>0</v>
      </c>
      <c r="AK223" s="5"/>
      <c r="AL223" s="42">
        <f t="shared" si="14"/>
        <v>1</v>
      </c>
      <c r="AM223" s="3">
        <f t="shared" si="15"/>
        <v>1</v>
      </c>
      <c r="AN223" s="3">
        <f t="shared" si="16"/>
        <v>1</v>
      </c>
      <c r="AO223" s="3">
        <f t="shared" si="17"/>
        <v>5189.23</v>
      </c>
      <c r="AP223" s="44">
        <f t="shared" si="18"/>
        <v>51216.08</v>
      </c>
      <c r="AQ223" s="48">
        <f t="shared" si="19"/>
        <v>4.233333333</v>
      </c>
      <c r="AR223" s="46">
        <f t="shared" si="20"/>
        <v>0.008984411159</v>
      </c>
      <c r="AS223" s="47">
        <f t="shared" si="21"/>
        <v>0.0005440861504</v>
      </c>
      <c r="AT223" s="5"/>
      <c r="AU223" s="49">
        <f t="shared" si="27"/>
        <v>51216.08</v>
      </c>
      <c r="AV223" s="50">
        <f t="shared" si="23"/>
        <v>1</v>
      </c>
      <c r="AW223" s="51">
        <f t="shared" si="24"/>
        <v>0.004969147267</v>
      </c>
      <c r="AX223" s="52">
        <f t="shared" si="25"/>
        <v>0.0003009261441</v>
      </c>
      <c r="AY223" s="5"/>
      <c r="AZ223" s="53">
        <f t="shared" si="26"/>
        <v>1</v>
      </c>
      <c r="BA223" s="5"/>
      <c r="BB223" s="5"/>
      <c r="BC223" s="5"/>
    </row>
    <row r="224" ht="12.75" customHeight="1">
      <c r="A224" s="25"/>
      <c r="B224" s="27" t="s">
        <v>409</v>
      </c>
      <c r="C224" s="89"/>
      <c r="D224" s="63">
        <v>33025.11</v>
      </c>
      <c r="E224" s="94" t="s">
        <v>39</v>
      </c>
      <c r="F224" s="91">
        <v>41281.0</v>
      </c>
      <c r="G224" s="32" t="s">
        <v>40</v>
      </c>
      <c r="H224" s="30">
        <v>41487.0</v>
      </c>
      <c r="I224" s="32">
        <f t="shared" si="1"/>
        <v>6.866666667</v>
      </c>
      <c r="J224" s="64" t="s">
        <v>410</v>
      </c>
      <c r="K224" s="70">
        <v>30000.0</v>
      </c>
      <c r="L224" s="115">
        <v>1806.69</v>
      </c>
      <c r="M224" s="65">
        <v>820.21</v>
      </c>
      <c r="N224" s="65">
        <v>69.13</v>
      </c>
      <c r="O224" s="65">
        <v>0.0</v>
      </c>
      <c r="P224" s="35">
        <f t="shared" si="3"/>
        <v>5721.14</v>
      </c>
      <c r="Q224" s="36">
        <f t="shared" si="4"/>
        <v>0.1732360619</v>
      </c>
      <c r="R224" s="36">
        <f t="shared" si="5"/>
        <v>0.8267639381</v>
      </c>
      <c r="S224" s="37"/>
      <c r="T224" s="5"/>
      <c r="U224" s="54">
        <v>544.5</v>
      </c>
      <c r="V224" s="55">
        <v>3488.01</v>
      </c>
      <c r="W224" s="55">
        <f t="shared" si="62"/>
        <v>4032.51</v>
      </c>
      <c r="X224" s="56">
        <v>0.0775</v>
      </c>
      <c r="Y224" s="55">
        <f t="shared" si="63"/>
        <v>1262.19256</v>
      </c>
      <c r="Z224" s="55">
        <f t="shared" si="43"/>
        <v>1262.19256</v>
      </c>
      <c r="AA224" s="57">
        <f t="shared" si="44"/>
        <v>1806.69256</v>
      </c>
      <c r="AB224" s="5"/>
      <c r="AC224" s="42">
        <f t="shared" si="6"/>
        <v>0</v>
      </c>
      <c r="AD224" s="3">
        <f t="shared" si="7"/>
        <v>1</v>
      </c>
      <c r="AE224" s="3">
        <f t="shared" si="8"/>
        <v>0</v>
      </c>
      <c r="AF224" s="43">
        <f t="shared" si="9"/>
        <v>0</v>
      </c>
      <c r="AG224" s="44">
        <f t="shared" si="10"/>
        <v>0</v>
      </c>
      <c r="AH224" s="45">
        <f t="shared" si="11"/>
        <v>0</v>
      </c>
      <c r="AI224" s="46">
        <f t="shared" si="12"/>
        <v>0</v>
      </c>
      <c r="AJ224" s="47">
        <f t="shared" si="13"/>
        <v>0</v>
      </c>
      <c r="AK224" s="5"/>
      <c r="AL224" s="42">
        <f t="shared" si="14"/>
        <v>1</v>
      </c>
      <c r="AM224" s="3">
        <f t="shared" si="15"/>
        <v>1</v>
      </c>
      <c r="AN224" s="3">
        <f t="shared" si="16"/>
        <v>1</v>
      </c>
      <c r="AO224" s="3">
        <f t="shared" si="17"/>
        <v>889.34</v>
      </c>
      <c r="AP224" s="44">
        <f t="shared" si="18"/>
        <v>33025.11</v>
      </c>
      <c r="AQ224" s="48">
        <f t="shared" si="19"/>
        <v>6.866666667</v>
      </c>
      <c r="AR224" s="46">
        <f t="shared" si="20"/>
        <v>0.005793320512</v>
      </c>
      <c r="AS224" s="47">
        <f t="shared" si="21"/>
        <v>0.001003612031</v>
      </c>
      <c r="AT224" s="5"/>
      <c r="AU224" s="49">
        <f t="shared" si="27"/>
        <v>33025.11</v>
      </c>
      <c r="AV224" s="50">
        <f t="shared" si="23"/>
        <v>1</v>
      </c>
      <c r="AW224" s="51">
        <f t="shared" si="24"/>
        <v>0.003204201397</v>
      </c>
      <c r="AX224" s="52">
        <f t="shared" si="25"/>
        <v>0.0005550832316</v>
      </c>
      <c r="AY224" s="5"/>
      <c r="AZ224" s="53">
        <f t="shared" si="26"/>
        <v>1</v>
      </c>
      <c r="BA224" s="5"/>
      <c r="BB224" s="5"/>
      <c r="BC224" s="5"/>
    </row>
    <row r="225" ht="12.75" customHeight="1">
      <c r="A225" s="25"/>
      <c r="B225" s="62" t="s">
        <v>411</v>
      </c>
      <c r="C225" s="62"/>
      <c r="D225" s="63">
        <v>11668.43</v>
      </c>
      <c r="E225" s="61" t="s">
        <v>39</v>
      </c>
      <c r="F225" s="30">
        <v>41287.0</v>
      </c>
      <c r="G225" s="30" t="s">
        <v>40</v>
      </c>
      <c r="H225" s="30">
        <v>41358.0</v>
      </c>
      <c r="I225" s="32">
        <f t="shared" si="1"/>
        <v>2.366666667</v>
      </c>
      <c r="J225" s="64" t="s">
        <v>412</v>
      </c>
      <c r="K225" s="34">
        <v>18000.0</v>
      </c>
      <c r="L225" s="115">
        <v>847.88</v>
      </c>
      <c r="M225" s="65">
        <v>447.46</v>
      </c>
      <c r="N225" s="65">
        <v>0.0</v>
      </c>
      <c r="O225" s="35">
        <v>0.0</v>
      </c>
      <c r="P225" s="35">
        <f t="shared" si="3"/>
        <v>0</v>
      </c>
      <c r="Q225" s="36">
        <f t="shared" si="4"/>
        <v>0</v>
      </c>
      <c r="R225" s="36">
        <f t="shared" si="5"/>
        <v>1</v>
      </c>
      <c r="S225" s="37"/>
      <c r="T225" s="5"/>
      <c r="U225" s="54">
        <v>401.92</v>
      </c>
      <c r="V225" s="55">
        <v>1244.05</v>
      </c>
      <c r="W225" s="55">
        <f t="shared" si="62"/>
        <v>1645.97</v>
      </c>
      <c r="X225" s="56">
        <v>0.0775</v>
      </c>
      <c r="Y225" s="55">
        <f t="shared" si="63"/>
        <v>445.9578041</v>
      </c>
      <c r="Z225" s="55">
        <f t="shared" si="43"/>
        <v>445.9578041</v>
      </c>
      <c r="AA225" s="57">
        <f t="shared" si="44"/>
        <v>847.8778041</v>
      </c>
      <c r="AB225" s="5"/>
      <c r="AC225" s="42">
        <f t="shared" si="6"/>
        <v>0</v>
      </c>
      <c r="AD225" s="3">
        <f t="shared" si="7"/>
        <v>1</v>
      </c>
      <c r="AE225" s="3">
        <f t="shared" si="8"/>
        <v>0</v>
      </c>
      <c r="AF225" s="43">
        <f t="shared" si="9"/>
        <v>0</v>
      </c>
      <c r="AG225" s="44">
        <f t="shared" si="10"/>
        <v>0</v>
      </c>
      <c r="AH225" s="45">
        <f t="shared" si="11"/>
        <v>0</v>
      </c>
      <c r="AI225" s="46">
        <f t="shared" si="12"/>
        <v>0</v>
      </c>
      <c r="AJ225" s="47">
        <f t="shared" si="13"/>
        <v>0</v>
      </c>
      <c r="AK225" s="5"/>
      <c r="AL225" s="42">
        <f t="shared" si="14"/>
        <v>1</v>
      </c>
      <c r="AM225" s="3">
        <f t="shared" si="15"/>
        <v>1</v>
      </c>
      <c r="AN225" s="3">
        <f t="shared" si="16"/>
        <v>1</v>
      </c>
      <c r="AO225" s="3">
        <f t="shared" si="17"/>
        <v>447.46</v>
      </c>
      <c r="AP225" s="44">
        <f t="shared" si="18"/>
        <v>11668.43</v>
      </c>
      <c r="AQ225" s="48">
        <f t="shared" si="19"/>
        <v>2.366666667</v>
      </c>
      <c r="AR225" s="46">
        <f t="shared" si="20"/>
        <v>0.002046895676</v>
      </c>
      <c r="AS225" s="47">
        <f t="shared" si="21"/>
        <v>0</v>
      </c>
      <c r="AT225" s="5"/>
      <c r="AU225" s="49">
        <f t="shared" si="27"/>
        <v>11668.43</v>
      </c>
      <c r="AV225" s="50">
        <f t="shared" si="23"/>
        <v>1</v>
      </c>
      <c r="AW225" s="51">
        <f t="shared" si="24"/>
        <v>0.001132108257</v>
      </c>
      <c r="AX225" s="52">
        <f t="shared" si="25"/>
        <v>0</v>
      </c>
      <c r="AY225" s="5"/>
      <c r="AZ225" s="53">
        <f t="shared" si="26"/>
        <v>1</v>
      </c>
      <c r="BA225" s="5"/>
      <c r="BB225" s="5"/>
      <c r="BC225" s="5"/>
    </row>
    <row r="226" ht="12.75" customHeight="1">
      <c r="A226" s="25"/>
      <c r="B226" s="27" t="s">
        <v>413</v>
      </c>
      <c r="C226" s="27"/>
      <c r="D226" s="63">
        <v>92000.0</v>
      </c>
      <c r="E226" s="29" t="s">
        <v>39</v>
      </c>
      <c r="F226" s="30">
        <v>41290.0</v>
      </c>
      <c r="G226" s="32" t="s">
        <v>40</v>
      </c>
      <c r="H226" s="30">
        <v>41548.0</v>
      </c>
      <c r="I226" s="32">
        <f t="shared" si="1"/>
        <v>8.6</v>
      </c>
      <c r="J226" s="33" t="s">
        <v>414</v>
      </c>
      <c r="K226" s="34">
        <v>94000.0</v>
      </c>
      <c r="L226" s="115">
        <v>4935.51</v>
      </c>
      <c r="M226" s="65">
        <v>6795.86</v>
      </c>
      <c r="N226" s="65">
        <v>120.25</v>
      </c>
      <c r="O226" s="65">
        <v>0.0</v>
      </c>
      <c r="P226" s="35">
        <f t="shared" si="3"/>
        <v>9851.62</v>
      </c>
      <c r="Q226" s="36">
        <f t="shared" si="4"/>
        <v>0.1070828261</v>
      </c>
      <c r="R226" s="36">
        <f t="shared" si="5"/>
        <v>0.8929171739</v>
      </c>
      <c r="S226" s="37"/>
      <c r="T226" s="5"/>
      <c r="U226" s="54">
        <v>1419.35</v>
      </c>
      <c r="V226" s="55">
        <v>3527.4</v>
      </c>
      <c r="W226" s="55">
        <f t="shared" si="62"/>
        <v>4946.75</v>
      </c>
      <c r="X226" s="56">
        <v>0.0775</v>
      </c>
      <c r="Y226" s="55">
        <f t="shared" si="63"/>
        <v>3516.164384</v>
      </c>
      <c r="Z226" s="55">
        <f t="shared" si="43"/>
        <v>3516.164384</v>
      </c>
      <c r="AA226" s="57">
        <f t="shared" si="44"/>
        <v>4935.514384</v>
      </c>
      <c r="AB226" s="5"/>
      <c r="AC226" s="42">
        <f t="shared" si="6"/>
        <v>0</v>
      </c>
      <c r="AD226" s="3">
        <f t="shared" si="7"/>
        <v>1</v>
      </c>
      <c r="AE226" s="3">
        <f t="shared" si="8"/>
        <v>0</v>
      </c>
      <c r="AF226" s="43">
        <f t="shared" si="9"/>
        <v>0</v>
      </c>
      <c r="AG226" s="44">
        <f t="shared" si="10"/>
        <v>0</v>
      </c>
      <c r="AH226" s="45">
        <f t="shared" si="11"/>
        <v>0</v>
      </c>
      <c r="AI226" s="46">
        <f t="shared" si="12"/>
        <v>0</v>
      </c>
      <c r="AJ226" s="47">
        <f t="shared" si="13"/>
        <v>0</v>
      </c>
      <c r="AK226" s="5"/>
      <c r="AL226" s="42">
        <f t="shared" si="14"/>
        <v>1</v>
      </c>
      <c r="AM226" s="3">
        <f t="shared" si="15"/>
        <v>1</v>
      </c>
      <c r="AN226" s="3">
        <f t="shared" si="16"/>
        <v>1</v>
      </c>
      <c r="AO226" s="3">
        <f t="shared" si="17"/>
        <v>6916.11</v>
      </c>
      <c r="AP226" s="44">
        <f t="shared" si="18"/>
        <v>92000</v>
      </c>
      <c r="AQ226" s="48">
        <f t="shared" si="19"/>
        <v>8.6</v>
      </c>
      <c r="AR226" s="46">
        <f t="shared" si="20"/>
        <v>0.01613879521</v>
      </c>
      <c r="AS226" s="47">
        <f t="shared" si="21"/>
        <v>0.001728187801</v>
      </c>
      <c r="AT226" s="5"/>
      <c r="AU226" s="49">
        <f t="shared" si="27"/>
        <v>92000</v>
      </c>
      <c r="AV226" s="50">
        <f t="shared" si="23"/>
        <v>1</v>
      </c>
      <c r="AW226" s="51">
        <f t="shared" si="24"/>
        <v>0.008926133132</v>
      </c>
      <c r="AX226" s="52">
        <f t="shared" si="25"/>
        <v>0.0009558355618</v>
      </c>
      <c r="AY226" s="5"/>
      <c r="AZ226" s="53">
        <f t="shared" si="26"/>
        <v>1</v>
      </c>
      <c r="BA226" s="5"/>
      <c r="BB226" s="5"/>
      <c r="BC226" s="5"/>
    </row>
    <row r="227" ht="12.75" customHeight="1">
      <c r="A227" s="25"/>
      <c r="B227" s="27" t="s">
        <v>415</v>
      </c>
      <c r="C227" s="27"/>
      <c r="D227" s="63">
        <v>13000.16</v>
      </c>
      <c r="E227" s="94" t="s">
        <v>39</v>
      </c>
      <c r="F227" s="30">
        <v>41291.0</v>
      </c>
      <c r="G227" s="30" t="s">
        <v>40</v>
      </c>
      <c r="H227" s="30">
        <v>41331.0</v>
      </c>
      <c r="I227" s="32">
        <f t="shared" si="1"/>
        <v>1.333333333</v>
      </c>
      <c r="J227" s="33" t="s">
        <v>129</v>
      </c>
      <c r="K227" s="34">
        <v>13500.0</v>
      </c>
      <c r="L227" s="112">
        <v>1957.28</v>
      </c>
      <c r="M227" s="65">
        <v>990.07</v>
      </c>
      <c r="N227" s="65">
        <v>0.0</v>
      </c>
      <c r="O227" s="65">
        <v>0.0</v>
      </c>
      <c r="P227" s="35">
        <f t="shared" si="3"/>
        <v>2447.51</v>
      </c>
      <c r="Q227" s="36">
        <f t="shared" si="4"/>
        <v>0.1882676829</v>
      </c>
      <c r="R227" s="36">
        <f t="shared" si="5"/>
        <v>0.8117323171</v>
      </c>
      <c r="S227" s="37"/>
      <c r="T227" s="5"/>
      <c r="U227" s="54">
        <v>1460.42</v>
      </c>
      <c r="V227" s="55">
        <v>706.72</v>
      </c>
      <c r="W227" s="55">
        <f t="shared" si="62"/>
        <v>2167.14</v>
      </c>
      <c r="X227" s="56">
        <v>0.0775</v>
      </c>
      <c r="Y227" s="55">
        <f t="shared" si="63"/>
        <v>496.8554301</v>
      </c>
      <c r="Z227" s="55">
        <f t="shared" si="43"/>
        <v>496.8554301</v>
      </c>
      <c r="AA227" s="57">
        <f t="shared" si="44"/>
        <v>1957.27543</v>
      </c>
      <c r="AB227" s="5"/>
      <c r="AC227" s="42">
        <f t="shared" si="6"/>
        <v>0</v>
      </c>
      <c r="AD227" s="3">
        <f t="shared" si="7"/>
        <v>1</v>
      </c>
      <c r="AE227" s="3">
        <f t="shared" si="8"/>
        <v>0</v>
      </c>
      <c r="AF227" s="43">
        <f t="shared" si="9"/>
        <v>0</v>
      </c>
      <c r="AG227" s="44">
        <f t="shared" si="10"/>
        <v>0</v>
      </c>
      <c r="AH227" s="45">
        <f t="shared" si="11"/>
        <v>0</v>
      </c>
      <c r="AI227" s="46">
        <f t="shared" si="12"/>
        <v>0</v>
      </c>
      <c r="AJ227" s="47">
        <f t="shared" si="13"/>
        <v>0</v>
      </c>
      <c r="AK227" s="5"/>
      <c r="AL227" s="42">
        <f t="shared" si="14"/>
        <v>1</v>
      </c>
      <c r="AM227" s="3">
        <f t="shared" si="15"/>
        <v>1</v>
      </c>
      <c r="AN227" s="3">
        <f t="shared" si="16"/>
        <v>1</v>
      </c>
      <c r="AO227" s="3">
        <f t="shared" si="17"/>
        <v>990.07</v>
      </c>
      <c r="AP227" s="44">
        <f t="shared" si="18"/>
        <v>13000.16</v>
      </c>
      <c r="AQ227" s="48">
        <f t="shared" si="19"/>
        <v>1.333333333</v>
      </c>
      <c r="AR227" s="46">
        <f t="shared" si="20"/>
        <v>0.002280509999</v>
      </c>
      <c r="AS227" s="47">
        <f t="shared" si="21"/>
        <v>0.0004293463333</v>
      </c>
      <c r="AT227" s="5"/>
      <c r="AU227" s="49">
        <f t="shared" si="27"/>
        <v>13000.16</v>
      </c>
      <c r="AV227" s="50">
        <f t="shared" si="23"/>
        <v>1</v>
      </c>
      <c r="AW227" s="51">
        <f t="shared" si="24"/>
        <v>0.001261316945</v>
      </c>
      <c r="AX227" s="52">
        <f t="shared" si="25"/>
        <v>0.0002374652185</v>
      </c>
      <c r="AY227" s="5"/>
      <c r="AZ227" s="53">
        <f t="shared" si="26"/>
        <v>1</v>
      </c>
      <c r="BA227" s="5"/>
      <c r="BB227" s="5"/>
      <c r="BC227" s="5"/>
    </row>
    <row r="228" ht="12.75" customHeight="1">
      <c r="A228" s="25"/>
      <c r="B228" s="27" t="s">
        <v>416</v>
      </c>
      <c r="C228" s="89"/>
      <c r="D228" s="90">
        <v>20144.48</v>
      </c>
      <c r="E228" s="94" t="s">
        <v>39</v>
      </c>
      <c r="F228" s="91">
        <v>41297.0</v>
      </c>
      <c r="G228" s="32" t="s">
        <v>40</v>
      </c>
      <c r="H228" s="88">
        <v>41487.0</v>
      </c>
      <c r="I228" s="32">
        <f t="shared" si="1"/>
        <v>6.333333333</v>
      </c>
      <c r="J228" s="64" t="s">
        <v>417</v>
      </c>
      <c r="K228" s="70">
        <v>21000.0</v>
      </c>
      <c r="L228" s="65">
        <v>470.84000000000003</v>
      </c>
      <c r="M228" s="65">
        <v>1323.09</v>
      </c>
      <c r="N228" s="65">
        <v>368.63</v>
      </c>
      <c r="O228" s="65">
        <v>0.0</v>
      </c>
      <c r="P228" s="35">
        <f t="shared" si="3"/>
        <v>1307.04</v>
      </c>
      <c r="Q228" s="36">
        <f t="shared" si="4"/>
        <v>0.06488328316</v>
      </c>
      <c r="R228" s="36">
        <f t="shared" si="5"/>
        <v>0.9351167168</v>
      </c>
      <c r="S228" s="37"/>
      <c r="T228" s="5"/>
      <c r="U228" s="54">
        <v>57.6</v>
      </c>
      <c r="V228" s="55">
        <v>355.64</v>
      </c>
      <c r="W228" s="55">
        <f t="shared" si="62"/>
        <v>413.24</v>
      </c>
      <c r="X228" s="56">
        <v>0.0775</v>
      </c>
      <c r="Y228" s="55">
        <f t="shared" si="63"/>
        <v>769.9054685</v>
      </c>
      <c r="Z228" s="55">
        <f t="shared" si="43"/>
        <v>413.24</v>
      </c>
      <c r="AA228" s="57">
        <f t="shared" si="44"/>
        <v>470.84</v>
      </c>
      <c r="AB228" s="5"/>
      <c r="AC228" s="42">
        <f t="shared" si="6"/>
        <v>0</v>
      </c>
      <c r="AD228" s="3">
        <f t="shared" si="7"/>
        <v>1</v>
      </c>
      <c r="AE228" s="3">
        <f t="shared" si="8"/>
        <v>0</v>
      </c>
      <c r="AF228" s="43">
        <f t="shared" si="9"/>
        <v>0</v>
      </c>
      <c r="AG228" s="44">
        <f t="shared" si="10"/>
        <v>0</v>
      </c>
      <c r="AH228" s="45">
        <f t="shared" si="11"/>
        <v>0</v>
      </c>
      <c r="AI228" s="46">
        <f t="shared" si="12"/>
        <v>0</v>
      </c>
      <c r="AJ228" s="47">
        <f t="shared" si="13"/>
        <v>0</v>
      </c>
      <c r="AK228" s="5"/>
      <c r="AL228" s="42">
        <f t="shared" si="14"/>
        <v>1</v>
      </c>
      <c r="AM228" s="3">
        <f t="shared" si="15"/>
        <v>1</v>
      </c>
      <c r="AN228" s="3">
        <f t="shared" si="16"/>
        <v>1</v>
      </c>
      <c r="AO228" s="3">
        <f t="shared" si="17"/>
        <v>1691.72</v>
      </c>
      <c r="AP228" s="44">
        <f t="shared" si="18"/>
        <v>20144.48</v>
      </c>
      <c r="AQ228" s="48">
        <f t="shared" si="19"/>
        <v>6.333333333</v>
      </c>
      <c r="AR228" s="46">
        <f t="shared" si="20"/>
        <v>0.003533778667</v>
      </c>
      <c r="AS228" s="47">
        <f t="shared" si="21"/>
        <v>0.0002292831619</v>
      </c>
      <c r="AT228" s="5"/>
      <c r="AU228" s="49">
        <f t="shared" si="27"/>
        <v>20144.48</v>
      </c>
      <c r="AV228" s="50">
        <f t="shared" si="23"/>
        <v>1</v>
      </c>
      <c r="AW228" s="51">
        <f t="shared" si="24"/>
        <v>0.001954481634</v>
      </c>
      <c r="AX228" s="52">
        <f t="shared" si="25"/>
        <v>0.0001268131853</v>
      </c>
      <c r="AY228" s="5"/>
      <c r="AZ228" s="53">
        <f t="shared" si="26"/>
        <v>1</v>
      </c>
      <c r="BA228" s="5"/>
      <c r="BB228" s="5"/>
      <c r="BC228" s="5"/>
    </row>
    <row r="229" ht="12.75" customHeight="1">
      <c r="A229" s="25"/>
      <c r="B229" s="27" t="s">
        <v>418</v>
      </c>
      <c r="C229" s="27"/>
      <c r="D229" s="28">
        <v>11351.21</v>
      </c>
      <c r="E229" s="94" t="s">
        <v>39</v>
      </c>
      <c r="F229" s="30">
        <v>41304.0</v>
      </c>
      <c r="G229" s="30" t="s">
        <v>40</v>
      </c>
      <c r="H229" s="88">
        <v>41360.0</v>
      </c>
      <c r="I229" s="32">
        <f t="shared" si="1"/>
        <v>1.866666667</v>
      </c>
      <c r="J229" s="33" t="s">
        <v>419</v>
      </c>
      <c r="K229" s="34">
        <v>12500.0</v>
      </c>
      <c r="L229" s="112">
        <v>625.83</v>
      </c>
      <c r="M229" s="65">
        <v>564.09</v>
      </c>
      <c r="N229" s="65">
        <v>0.0</v>
      </c>
      <c r="O229" s="65">
        <v>0.0</v>
      </c>
      <c r="P229" s="35">
        <f t="shared" si="3"/>
        <v>41.13</v>
      </c>
      <c r="Q229" s="36">
        <f t="shared" si="4"/>
        <v>0.003623402263</v>
      </c>
      <c r="R229" s="36">
        <f t="shared" si="5"/>
        <v>0.9963765977</v>
      </c>
      <c r="S229" s="37"/>
      <c r="T229" s="5"/>
      <c r="U229" s="54">
        <v>178.0</v>
      </c>
      <c r="V229" s="55">
        <v>708.58</v>
      </c>
      <c r="W229" s="55">
        <f t="shared" si="62"/>
        <v>886.58</v>
      </c>
      <c r="X229" s="56">
        <v>0.08</v>
      </c>
      <c r="Y229" s="55">
        <f t="shared" si="63"/>
        <v>447.8285589</v>
      </c>
      <c r="Z229" s="55">
        <f t="shared" si="43"/>
        <v>447.8285589</v>
      </c>
      <c r="AA229" s="57">
        <f t="shared" si="44"/>
        <v>625.8285589</v>
      </c>
      <c r="AB229" s="5"/>
      <c r="AC229" s="42">
        <f t="shared" si="6"/>
        <v>0</v>
      </c>
      <c r="AD229" s="3">
        <f t="shared" si="7"/>
        <v>1</v>
      </c>
      <c r="AE229" s="3">
        <f t="shared" si="8"/>
        <v>0</v>
      </c>
      <c r="AF229" s="43">
        <f t="shared" si="9"/>
        <v>0</v>
      </c>
      <c r="AG229" s="44">
        <f t="shared" si="10"/>
        <v>0</v>
      </c>
      <c r="AH229" s="45">
        <f t="shared" si="11"/>
        <v>0</v>
      </c>
      <c r="AI229" s="46">
        <f t="shared" si="12"/>
        <v>0</v>
      </c>
      <c r="AJ229" s="47">
        <f t="shared" si="13"/>
        <v>0</v>
      </c>
      <c r="AK229" s="5"/>
      <c r="AL229" s="42">
        <f t="shared" si="14"/>
        <v>1</v>
      </c>
      <c r="AM229" s="3">
        <f t="shared" si="15"/>
        <v>1</v>
      </c>
      <c r="AN229" s="3">
        <f t="shared" si="16"/>
        <v>1</v>
      </c>
      <c r="AO229" s="3">
        <f t="shared" si="17"/>
        <v>564.09</v>
      </c>
      <c r="AP229" s="44">
        <f t="shared" si="18"/>
        <v>11351.21</v>
      </c>
      <c r="AQ229" s="48">
        <f t="shared" si="19"/>
        <v>1.866666667</v>
      </c>
      <c r="AR229" s="46">
        <f t="shared" si="20"/>
        <v>0.001991248409</v>
      </c>
      <c r="AS229" s="47">
        <f t="shared" si="21"/>
        <v>0.000007215093989</v>
      </c>
      <c r="AT229" s="5"/>
      <c r="AU229" s="49">
        <f t="shared" si="27"/>
        <v>11351.21</v>
      </c>
      <c r="AV229" s="50">
        <f t="shared" si="23"/>
        <v>1</v>
      </c>
      <c r="AW229" s="51">
        <f t="shared" si="24"/>
        <v>0.001101330562</v>
      </c>
      <c r="AX229" s="52">
        <f t="shared" si="25"/>
        <v>0.000003990563649</v>
      </c>
      <c r="AY229" s="5"/>
      <c r="AZ229" s="53">
        <f t="shared" si="26"/>
        <v>1</v>
      </c>
      <c r="BA229" s="5"/>
      <c r="BB229" s="5"/>
      <c r="BC229" s="5"/>
    </row>
    <row r="230" ht="12.75" customHeight="1">
      <c r="A230" s="25"/>
      <c r="B230" s="62" t="s">
        <v>420</v>
      </c>
      <c r="C230" s="62"/>
      <c r="D230" s="63">
        <v>23782.0</v>
      </c>
      <c r="E230" s="94" t="s">
        <v>39</v>
      </c>
      <c r="F230" s="30">
        <v>41321.0</v>
      </c>
      <c r="G230" s="32" t="s">
        <v>40</v>
      </c>
      <c r="H230" s="30">
        <v>41448.0</v>
      </c>
      <c r="I230" s="32">
        <f t="shared" si="1"/>
        <v>4.233333333</v>
      </c>
      <c r="J230" s="64" t="s">
        <v>421</v>
      </c>
      <c r="K230" s="34">
        <v>24000.0</v>
      </c>
      <c r="L230" s="65">
        <v>380.06</v>
      </c>
      <c r="M230" s="65">
        <v>2564.4</v>
      </c>
      <c r="N230" s="65">
        <v>65.54</v>
      </c>
      <c r="O230" s="65">
        <v>0.0</v>
      </c>
      <c r="P230" s="35">
        <f t="shared" si="3"/>
        <v>2792</v>
      </c>
      <c r="Q230" s="36">
        <f t="shared" si="4"/>
        <v>0.1173997141</v>
      </c>
      <c r="R230" s="36">
        <f t="shared" si="5"/>
        <v>0.8826002859</v>
      </c>
      <c r="S230" s="37"/>
      <c r="T230" s="5"/>
      <c r="U230" s="54">
        <v>0.0</v>
      </c>
      <c r="V230" s="55">
        <v>380.06</v>
      </c>
      <c r="W230" s="55">
        <f t="shared" si="62"/>
        <v>380.06</v>
      </c>
      <c r="X230" s="56">
        <v>0.07</v>
      </c>
      <c r="Y230" s="55">
        <f t="shared" si="63"/>
        <v>820.9676712</v>
      </c>
      <c r="Z230" s="55">
        <f t="shared" si="43"/>
        <v>380.06</v>
      </c>
      <c r="AA230" s="57">
        <f t="shared" si="44"/>
        <v>380.06</v>
      </c>
      <c r="AB230" s="5"/>
      <c r="AC230" s="42">
        <f t="shared" si="6"/>
        <v>0</v>
      </c>
      <c r="AD230" s="3">
        <f t="shared" si="7"/>
        <v>1</v>
      </c>
      <c r="AE230" s="3">
        <f t="shared" si="8"/>
        <v>0</v>
      </c>
      <c r="AF230" s="43">
        <f t="shared" si="9"/>
        <v>0</v>
      </c>
      <c r="AG230" s="44">
        <f t="shared" si="10"/>
        <v>0</v>
      </c>
      <c r="AH230" s="45">
        <f t="shared" si="11"/>
        <v>0</v>
      </c>
      <c r="AI230" s="46">
        <f t="shared" si="12"/>
        <v>0</v>
      </c>
      <c r="AJ230" s="47">
        <f t="shared" si="13"/>
        <v>0</v>
      </c>
      <c r="AK230" s="5"/>
      <c r="AL230" s="42">
        <f t="shared" si="14"/>
        <v>1</v>
      </c>
      <c r="AM230" s="3">
        <f t="shared" si="15"/>
        <v>1</v>
      </c>
      <c r="AN230" s="3">
        <f t="shared" si="16"/>
        <v>1</v>
      </c>
      <c r="AO230" s="3">
        <f t="shared" si="17"/>
        <v>2629.94</v>
      </c>
      <c r="AP230" s="44">
        <f t="shared" si="18"/>
        <v>23782</v>
      </c>
      <c r="AQ230" s="48">
        <f t="shared" si="19"/>
        <v>4.233333333</v>
      </c>
      <c r="AR230" s="46">
        <f t="shared" si="20"/>
        <v>0.004171878562</v>
      </c>
      <c r="AS230" s="47">
        <f t="shared" si="21"/>
        <v>0.0004897773503</v>
      </c>
      <c r="AT230" s="5"/>
      <c r="AU230" s="49">
        <f t="shared" si="27"/>
        <v>23782</v>
      </c>
      <c r="AV230" s="50">
        <f t="shared" si="23"/>
        <v>1</v>
      </c>
      <c r="AW230" s="51">
        <f t="shared" si="24"/>
        <v>0.002307405415</v>
      </c>
      <c r="AX230" s="52">
        <f t="shared" si="25"/>
        <v>0.0002708887359</v>
      </c>
      <c r="AY230" s="5"/>
      <c r="AZ230" s="53">
        <f t="shared" si="26"/>
        <v>1</v>
      </c>
      <c r="BA230" s="5"/>
      <c r="BB230" s="5"/>
      <c r="BC230" s="5"/>
    </row>
    <row r="231" ht="12.75" customHeight="1">
      <c r="A231" s="25"/>
      <c r="B231" s="27" t="s">
        <v>422</v>
      </c>
      <c r="C231" s="89"/>
      <c r="D231" s="90">
        <v>18624.72</v>
      </c>
      <c r="E231" s="94" t="s">
        <v>39</v>
      </c>
      <c r="F231" s="91">
        <v>41333.0</v>
      </c>
      <c r="G231" s="31" t="s">
        <v>40</v>
      </c>
      <c r="H231" s="88">
        <v>41540.0</v>
      </c>
      <c r="I231" s="32">
        <f t="shared" si="1"/>
        <v>6.9</v>
      </c>
      <c r="J231" s="64" t="s">
        <v>423</v>
      </c>
      <c r="K231" s="70">
        <v>18000.0</v>
      </c>
      <c r="L231" s="115">
        <v>1141.72</v>
      </c>
      <c r="M231" s="65">
        <v>1968.96</v>
      </c>
      <c r="N231" s="65">
        <v>452.86</v>
      </c>
      <c r="O231" s="65">
        <v>0.0</v>
      </c>
      <c r="P231" s="35">
        <f t="shared" si="3"/>
        <v>4188.26</v>
      </c>
      <c r="Q231" s="36">
        <f t="shared" si="4"/>
        <v>0.2248764008</v>
      </c>
      <c r="R231" s="36">
        <f t="shared" si="5"/>
        <v>0.7751235992</v>
      </c>
      <c r="S231" s="37"/>
      <c r="T231" s="5"/>
      <c r="U231" s="54">
        <v>429.9</v>
      </c>
      <c r="V231" s="55">
        <v>2234.09</v>
      </c>
      <c r="W231" s="55">
        <f t="shared" si="62"/>
        <v>2663.99</v>
      </c>
      <c r="X231" s="56">
        <v>0.0775</v>
      </c>
      <c r="Y231" s="55">
        <f t="shared" si="63"/>
        <v>711.8214904</v>
      </c>
      <c r="Z231" s="55">
        <f t="shared" si="43"/>
        <v>711.8214904</v>
      </c>
      <c r="AA231" s="57">
        <f t="shared" si="44"/>
        <v>1141.72149</v>
      </c>
      <c r="AB231" s="5"/>
      <c r="AC231" s="42">
        <f t="shared" si="6"/>
        <v>0</v>
      </c>
      <c r="AD231" s="3">
        <f t="shared" si="7"/>
        <v>1</v>
      </c>
      <c r="AE231" s="3">
        <f t="shared" si="8"/>
        <v>0</v>
      </c>
      <c r="AF231" s="43">
        <f t="shared" si="9"/>
        <v>0</v>
      </c>
      <c r="AG231" s="44">
        <f t="shared" si="10"/>
        <v>0</v>
      </c>
      <c r="AH231" s="45">
        <f t="shared" si="11"/>
        <v>0</v>
      </c>
      <c r="AI231" s="46">
        <f t="shared" si="12"/>
        <v>0</v>
      </c>
      <c r="AJ231" s="47">
        <f t="shared" si="13"/>
        <v>0</v>
      </c>
      <c r="AK231" s="5"/>
      <c r="AL231" s="42">
        <f t="shared" si="14"/>
        <v>1</v>
      </c>
      <c r="AM231" s="3">
        <f t="shared" si="15"/>
        <v>1</v>
      </c>
      <c r="AN231" s="3">
        <f t="shared" si="16"/>
        <v>1</v>
      </c>
      <c r="AO231" s="3">
        <f t="shared" si="17"/>
        <v>2421.82</v>
      </c>
      <c r="AP231" s="44">
        <f t="shared" si="18"/>
        <v>18624.72</v>
      </c>
      <c r="AQ231" s="48">
        <f t="shared" si="19"/>
        <v>6.9</v>
      </c>
      <c r="AR231" s="46">
        <f t="shared" si="20"/>
        <v>0.003267179804</v>
      </c>
      <c r="AS231" s="47">
        <f t="shared" si="21"/>
        <v>0.0007347116351</v>
      </c>
      <c r="AT231" s="5"/>
      <c r="AU231" s="49">
        <f t="shared" si="27"/>
        <v>18624.72</v>
      </c>
      <c r="AV231" s="50">
        <f t="shared" si="23"/>
        <v>1</v>
      </c>
      <c r="AW231" s="51">
        <f t="shared" si="24"/>
        <v>0.001807029677</v>
      </c>
      <c r="AX231" s="52">
        <f t="shared" si="25"/>
        <v>0.0004063583299</v>
      </c>
      <c r="AY231" s="5"/>
      <c r="AZ231" s="53">
        <f t="shared" si="26"/>
        <v>1</v>
      </c>
      <c r="BA231" s="5"/>
      <c r="BB231" s="5"/>
      <c r="BC231" s="5"/>
    </row>
    <row r="232" ht="12.75" customHeight="1">
      <c r="A232" s="25"/>
      <c r="B232" s="27" t="s">
        <v>424</v>
      </c>
      <c r="C232" s="89"/>
      <c r="D232" s="90">
        <v>18814.0</v>
      </c>
      <c r="E232" s="94" t="s">
        <v>39</v>
      </c>
      <c r="F232" s="91">
        <v>41333.0</v>
      </c>
      <c r="G232" s="31" t="s">
        <v>40</v>
      </c>
      <c r="H232" s="88">
        <v>41698.0</v>
      </c>
      <c r="I232" s="32">
        <f t="shared" si="1"/>
        <v>12.16666667</v>
      </c>
      <c r="J232" s="33" t="s">
        <v>425</v>
      </c>
      <c r="K232" s="70">
        <v>13000.0</v>
      </c>
      <c r="L232" s="115">
        <v>1011.85</v>
      </c>
      <c r="M232" s="65">
        <v>313.76</v>
      </c>
      <c r="N232" s="65">
        <v>260.62</v>
      </c>
      <c r="O232" s="65">
        <v>0.0</v>
      </c>
      <c r="P232" s="35">
        <f t="shared" si="3"/>
        <v>7400.23</v>
      </c>
      <c r="Q232" s="36">
        <f t="shared" si="4"/>
        <v>0.3933363453</v>
      </c>
      <c r="R232" s="36">
        <f t="shared" si="5"/>
        <v>0.6066636547</v>
      </c>
      <c r="S232" s="37"/>
      <c r="T232" s="5"/>
      <c r="U232" s="54">
        <v>269.6</v>
      </c>
      <c r="V232" s="55">
        <v>1765.3</v>
      </c>
      <c r="W232" s="55">
        <f t="shared" si="62"/>
        <v>2034.9</v>
      </c>
      <c r="X232" s="56">
        <v>0.08</v>
      </c>
      <c r="Y232" s="55">
        <f t="shared" si="63"/>
        <v>742.2509589</v>
      </c>
      <c r="Z232" s="55">
        <f t="shared" si="43"/>
        <v>742.2509589</v>
      </c>
      <c r="AA232" s="57">
        <f t="shared" si="44"/>
        <v>1011.850959</v>
      </c>
      <c r="AB232" s="5"/>
      <c r="AC232" s="42">
        <f t="shared" si="6"/>
        <v>0</v>
      </c>
      <c r="AD232" s="3">
        <f t="shared" si="7"/>
        <v>1</v>
      </c>
      <c r="AE232" s="3">
        <f t="shared" si="8"/>
        <v>0</v>
      </c>
      <c r="AF232" s="43">
        <f t="shared" si="9"/>
        <v>0</v>
      </c>
      <c r="AG232" s="44">
        <f t="shared" si="10"/>
        <v>0</v>
      </c>
      <c r="AH232" s="45">
        <f t="shared" si="11"/>
        <v>0</v>
      </c>
      <c r="AI232" s="46">
        <f t="shared" si="12"/>
        <v>0</v>
      </c>
      <c r="AJ232" s="47">
        <f t="shared" si="13"/>
        <v>0</v>
      </c>
      <c r="AK232" s="5"/>
      <c r="AL232" s="42">
        <f t="shared" si="14"/>
        <v>1</v>
      </c>
      <c r="AM232" s="3">
        <f t="shared" si="15"/>
        <v>1</v>
      </c>
      <c r="AN232" s="3">
        <f t="shared" si="16"/>
        <v>1</v>
      </c>
      <c r="AO232" s="3">
        <f t="shared" si="17"/>
        <v>574.38</v>
      </c>
      <c r="AP232" s="44">
        <f t="shared" si="18"/>
        <v>18814</v>
      </c>
      <c r="AQ232" s="48">
        <f t="shared" si="19"/>
        <v>12.16666667</v>
      </c>
      <c r="AR232" s="46">
        <f t="shared" si="20"/>
        <v>0.003300383621</v>
      </c>
      <c r="AS232" s="47">
        <f t="shared" si="21"/>
        <v>0.001298160831</v>
      </c>
      <c r="AT232" s="5"/>
      <c r="AU232" s="49">
        <f t="shared" si="27"/>
        <v>18814</v>
      </c>
      <c r="AV232" s="50">
        <f t="shared" si="23"/>
        <v>1</v>
      </c>
      <c r="AW232" s="51">
        <f t="shared" si="24"/>
        <v>0.001825394225</v>
      </c>
      <c r="AX232" s="52">
        <f t="shared" si="25"/>
        <v>0.0007179938933</v>
      </c>
      <c r="AY232" s="5"/>
      <c r="AZ232" s="53">
        <f t="shared" si="26"/>
        <v>1</v>
      </c>
      <c r="BA232" s="5"/>
      <c r="BB232" s="5"/>
      <c r="BC232" s="5"/>
    </row>
    <row r="233" ht="12.75" customHeight="1">
      <c r="A233" s="25"/>
      <c r="B233" s="27" t="s">
        <v>426</v>
      </c>
      <c r="C233" s="27"/>
      <c r="D233" s="28">
        <v>36280.44</v>
      </c>
      <c r="E233" s="94" t="s">
        <v>39</v>
      </c>
      <c r="F233" s="30">
        <v>41347.0</v>
      </c>
      <c r="G233" s="31" t="s">
        <v>40</v>
      </c>
      <c r="H233" s="30">
        <v>41391.0</v>
      </c>
      <c r="I233" s="32">
        <f t="shared" si="1"/>
        <v>1.466666667</v>
      </c>
      <c r="J233" s="33" t="s">
        <v>427</v>
      </c>
      <c r="K233" s="34">
        <v>45000.0</v>
      </c>
      <c r="L233" s="112">
        <v>1644.42</v>
      </c>
      <c r="M233" s="65">
        <v>1467.44</v>
      </c>
      <c r="N233" s="65">
        <v>0.0</v>
      </c>
      <c r="O233" s="65">
        <v>0.0</v>
      </c>
      <c r="P233" s="35">
        <f t="shared" si="3"/>
        <v>0</v>
      </c>
      <c r="Q233" s="36">
        <f t="shared" si="4"/>
        <v>0</v>
      </c>
      <c r="R233" s="36">
        <f t="shared" si="5"/>
        <v>1</v>
      </c>
      <c r="S233" s="37"/>
      <c r="T233" s="5"/>
      <c r="U233" s="54">
        <v>347.27</v>
      </c>
      <c r="V233" s="55">
        <v>1955.11</v>
      </c>
      <c r="W233" s="55">
        <f t="shared" si="62"/>
        <v>2302.38</v>
      </c>
      <c r="X233" s="56">
        <v>0.0725</v>
      </c>
      <c r="Y233" s="55">
        <f t="shared" si="63"/>
        <v>1297.149978</v>
      </c>
      <c r="Z233" s="55">
        <f t="shared" si="43"/>
        <v>1297.149978</v>
      </c>
      <c r="AA233" s="57">
        <f t="shared" si="44"/>
        <v>1644.419978</v>
      </c>
      <c r="AB233" s="5"/>
      <c r="AC233" s="42">
        <f t="shared" si="6"/>
        <v>0</v>
      </c>
      <c r="AD233" s="3">
        <f t="shared" si="7"/>
        <v>1</v>
      </c>
      <c r="AE233" s="3">
        <f t="shared" si="8"/>
        <v>0</v>
      </c>
      <c r="AF233" s="43">
        <f t="shared" si="9"/>
        <v>0</v>
      </c>
      <c r="AG233" s="44">
        <f t="shared" si="10"/>
        <v>0</v>
      </c>
      <c r="AH233" s="45">
        <f t="shared" si="11"/>
        <v>0</v>
      </c>
      <c r="AI233" s="46">
        <f t="shared" si="12"/>
        <v>0</v>
      </c>
      <c r="AJ233" s="47">
        <f t="shared" si="13"/>
        <v>0</v>
      </c>
      <c r="AK233" s="5"/>
      <c r="AL233" s="42">
        <f t="shared" si="14"/>
        <v>1</v>
      </c>
      <c r="AM233" s="3">
        <f t="shared" si="15"/>
        <v>1</v>
      </c>
      <c r="AN233" s="3">
        <f t="shared" si="16"/>
        <v>1</v>
      </c>
      <c r="AO233" s="3">
        <f t="shared" si="17"/>
        <v>1467.44</v>
      </c>
      <c r="AP233" s="44">
        <f t="shared" si="18"/>
        <v>36280.44</v>
      </c>
      <c r="AQ233" s="48">
        <f t="shared" si="19"/>
        <v>1.466666667</v>
      </c>
      <c r="AR233" s="46">
        <f t="shared" si="20"/>
        <v>0.006364375993</v>
      </c>
      <c r="AS233" s="47">
        <f t="shared" si="21"/>
        <v>0</v>
      </c>
      <c r="AT233" s="5"/>
      <c r="AU233" s="49">
        <f t="shared" si="27"/>
        <v>36280.44</v>
      </c>
      <c r="AV233" s="50">
        <f t="shared" si="23"/>
        <v>1</v>
      </c>
      <c r="AW233" s="51">
        <f t="shared" si="24"/>
        <v>0.003520043886</v>
      </c>
      <c r="AX233" s="52">
        <f t="shared" si="25"/>
        <v>0</v>
      </c>
      <c r="AY233" s="5"/>
      <c r="AZ233" s="53">
        <f t="shared" si="26"/>
        <v>1</v>
      </c>
      <c r="BA233" s="5"/>
      <c r="BB233" s="5"/>
      <c r="BC233" s="5"/>
    </row>
    <row r="234" ht="12.75" customHeight="1">
      <c r="A234" s="25"/>
      <c r="B234" s="27" t="s">
        <v>428</v>
      </c>
      <c r="C234" s="27"/>
      <c r="D234" s="28">
        <v>17345.0</v>
      </c>
      <c r="E234" s="29" t="s">
        <v>39</v>
      </c>
      <c r="F234" s="30">
        <v>41352.0</v>
      </c>
      <c r="G234" s="31" t="s">
        <v>40</v>
      </c>
      <c r="H234" s="30">
        <v>41717.0</v>
      </c>
      <c r="I234" s="32">
        <f t="shared" si="1"/>
        <v>12.16666667</v>
      </c>
      <c r="J234" s="33" t="s">
        <v>129</v>
      </c>
      <c r="K234" s="34">
        <v>15000.0</v>
      </c>
      <c r="L234" s="112">
        <v>847.73</v>
      </c>
      <c r="M234" s="35">
        <v>2183.92</v>
      </c>
      <c r="N234" s="35">
        <v>12.3</v>
      </c>
      <c r="O234" s="35">
        <v>0.0</v>
      </c>
      <c r="P234" s="35">
        <f t="shared" si="3"/>
        <v>5388.95</v>
      </c>
      <c r="Q234" s="36">
        <f t="shared" si="4"/>
        <v>0.310691842</v>
      </c>
      <c r="R234" s="36">
        <f t="shared" si="5"/>
        <v>0.689308158</v>
      </c>
      <c r="S234" s="37"/>
      <c r="T234" s="5"/>
      <c r="U234" s="54">
        <v>206.2</v>
      </c>
      <c r="V234" s="55">
        <v>1367.4</v>
      </c>
      <c r="W234" s="55">
        <f t="shared" si="62"/>
        <v>1573.6</v>
      </c>
      <c r="X234" s="56">
        <v>0.075</v>
      </c>
      <c r="Y234" s="55">
        <f t="shared" si="63"/>
        <v>641.5273973</v>
      </c>
      <c r="Z234" s="55">
        <f t="shared" si="43"/>
        <v>641.5273973</v>
      </c>
      <c r="AA234" s="57">
        <f t="shared" si="44"/>
        <v>847.7273973</v>
      </c>
      <c r="AB234" s="5"/>
      <c r="AC234" s="42">
        <f t="shared" si="6"/>
        <v>0</v>
      </c>
      <c r="AD234" s="3">
        <f t="shared" si="7"/>
        <v>1</v>
      </c>
      <c r="AE234" s="3">
        <f t="shared" si="8"/>
        <v>0</v>
      </c>
      <c r="AF234" s="43">
        <f t="shared" si="9"/>
        <v>0</v>
      </c>
      <c r="AG234" s="44">
        <f t="shared" si="10"/>
        <v>0</v>
      </c>
      <c r="AH234" s="45">
        <f t="shared" si="11"/>
        <v>0</v>
      </c>
      <c r="AI234" s="46">
        <f t="shared" si="12"/>
        <v>0</v>
      </c>
      <c r="AJ234" s="47">
        <f t="shared" si="13"/>
        <v>0</v>
      </c>
      <c r="AK234" s="5"/>
      <c r="AL234" s="42">
        <f t="shared" si="14"/>
        <v>1</v>
      </c>
      <c r="AM234" s="3">
        <f t="shared" si="15"/>
        <v>1</v>
      </c>
      <c r="AN234" s="3">
        <f t="shared" si="16"/>
        <v>1</v>
      </c>
      <c r="AO234" s="3">
        <f t="shared" si="17"/>
        <v>2196.22</v>
      </c>
      <c r="AP234" s="44">
        <f t="shared" si="18"/>
        <v>17345</v>
      </c>
      <c r="AQ234" s="48">
        <f t="shared" si="19"/>
        <v>12.16666667</v>
      </c>
      <c r="AR234" s="46">
        <f t="shared" si="20"/>
        <v>0.003042689162</v>
      </c>
      <c r="AS234" s="47">
        <f t="shared" si="21"/>
        <v>0.0009453387005</v>
      </c>
      <c r="AT234" s="5"/>
      <c r="AU234" s="49">
        <f t="shared" si="27"/>
        <v>17345</v>
      </c>
      <c r="AV234" s="50">
        <f t="shared" si="23"/>
        <v>1</v>
      </c>
      <c r="AW234" s="51">
        <f t="shared" si="24"/>
        <v>0.001682867165</v>
      </c>
      <c r="AX234" s="52">
        <f t="shared" si="25"/>
        <v>0.0005228530994</v>
      </c>
      <c r="AY234" s="5"/>
      <c r="AZ234" s="53">
        <f t="shared" si="26"/>
        <v>1</v>
      </c>
      <c r="BA234" s="5"/>
      <c r="BB234" s="5"/>
      <c r="BC234" s="5"/>
    </row>
    <row r="235" ht="12.75" customHeight="1">
      <c r="A235" s="25"/>
      <c r="B235" s="27" t="s">
        <v>429</v>
      </c>
      <c r="C235" s="27"/>
      <c r="D235" s="28">
        <v>64618.46</v>
      </c>
      <c r="E235" s="29" t="s">
        <v>39</v>
      </c>
      <c r="F235" s="30">
        <v>41365.0</v>
      </c>
      <c r="G235" s="30" t="s">
        <v>40</v>
      </c>
      <c r="H235" s="30">
        <v>41421.0</v>
      </c>
      <c r="I235" s="31">
        <f t="shared" si="1"/>
        <v>1.866666667</v>
      </c>
      <c r="J235" s="33" t="s">
        <v>430</v>
      </c>
      <c r="K235" s="34">
        <v>67000.0</v>
      </c>
      <c r="L235" s="115">
        <v>2714.6</v>
      </c>
      <c r="M235" s="65">
        <v>1619.39</v>
      </c>
      <c r="N235" s="65">
        <v>30.98</v>
      </c>
      <c r="O235" s="65">
        <f t="shared" ref="O235:O237" si="64">IF(K235="N/A",0,IF(K235-D235&gt;0,0,D235-K235))</f>
        <v>0</v>
      </c>
      <c r="P235" s="35">
        <f t="shared" si="3"/>
        <v>1983.43</v>
      </c>
      <c r="Q235" s="36">
        <f t="shared" si="4"/>
        <v>0.03069447957</v>
      </c>
      <c r="R235" s="36">
        <f t="shared" si="5"/>
        <v>0.9693055204</v>
      </c>
      <c r="S235" s="37"/>
      <c r="T235" s="5"/>
      <c r="U235" s="54">
        <v>244.94</v>
      </c>
      <c r="V235" s="55">
        <v>6679.38</v>
      </c>
      <c r="W235" s="55">
        <f t="shared" si="62"/>
        <v>6924.32</v>
      </c>
      <c r="X235" s="56">
        <v>0.0775</v>
      </c>
      <c r="Y235" s="55">
        <f t="shared" si="63"/>
        <v>2469.66443</v>
      </c>
      <c r="Z235" s="55">
        <f t="shared" si="43"/>
        <v>2469.66443</v>
      </c>
      <c r="AA235" s="57">
        <f t="shared" si="44"/>
        <v>2714.60443</v>
      </c>
      <c r="AB235" s="5"/>
      <c r="AC235" s="42">
        <f t="shared" si="6"/>
        <v>0</v>
      </c>
      <c r="AD235" s="3">
        <f t="shared" si="7"/>
        <v>1</v>
      </c>
      <c r="AE235" s="3">
        <f t="shared" si="8"/>
        <v>0</v>
      </c>
      <c r="AF235" s="43">
        <f t="shared" si="9"/>
        <v>0</v>
      </c>
      <c r="AG235" s="44">
        <f t="shared" si="10"/>
        <v>0</v>
      </c>
      <c r="AH235" s="45">
        <f t="shared" si="11"/>
        <v>0</v>
      </c>
      <c r="AI235" s="46">
        <f t="shared" si="12"/>
        <v>0</v>
      </c>
      <c r="AJ235" s="47">
        <f t="shared" si="13"/>
        <v>0</v>
      </c>
      <c r="AK235" s="5"/>
      <c r="AL235" s="42">
        <f t="shared" si="14"/>
        <v>1</v>
      </c>
      <c r="AM235" s="3">
        <f t="shared" si="15"/>
        <v>1</v>
      </c>
      <c r="AN235" s="3">
        <f t="shared" si="16"/>
        <v>1</v>
      </c>
      <c r="AO235" s="3">
        <f t="shared" si="17"/>
        <v>1650.37</v>
      </c>
      <c r="AP235" s="44">
        <f t="shared" si="18"/>
        <v>64618.46</v>
      </c>
      <c r="AQ235" s="48">
        <f t="shared" si="19"/>
        <v>1.866666667</v>
      </c>
      <c r="AR235" s="46">
        <f t="shared" si="20"/>
        <v>0.01133547927</v>
      </c>
      <c r="AS235" s="47">
        <f t="shared" si="21"/>
        <v>0.0003479366368</v>
      </c>
      <c r="AT235" s="5"/>
      <c r="AU235" s="49">
        <f t="shared" si="27"/>
        <v>64618.46</v>
      </c>
      <c r="AV235" s="50">
        <f t="shared" si="23"/>
        <v>1</v>
      </c>
      <c r="AW235" s="51">
        <f t="shared" si="24"/>
        <v>0.006269488878</v>
      </c>
      <c r="AX235" s="52">
        <f t="shared" si="25"/>
        <v>0.0001924386982</v>
      </c>
      <c r="AY235" s="5"/>
      <c r="AZ235" s="53">
        <f t="shared" si="26"/>
        <v>1</v>
      </c>
      <c r="BA235" s="5"/>
      <c r="BB235" s="5"/>
      <c r="BC235" s="5"/>
    </row>
    <row r="236" ht="12.75" customHeight="1">
      <c r="A236" s="25"/>
      <c r="B236" s="27" t="s">
        <v>431</v>
      </c>
      <c r="C236" s="27"/>
      <c r="D236" s="28">
        <v>18691.0</v>
      </c>
      <c r="E236" s="29" t="s">
        <v>39</v>
      </c>
      <c r="F236" s="30">
        <v>41365.0</v>
      </c>
      <c r="G236" s="30" t="s">
        <v>40</v>
      </c>
      <c r="H236" s="30">
        <v>41698.0</v>
      </c>
      <c r="I236" s="31">
        <f t="shared" si="1"/>
        <v>11.1</v>
      </c>
      <c r="J236" s="33" t="s">
        <v>432</v>
      </c>
      <c r="K236" s="34">
        <v>16500.0</v>
      </c>
      <c r="L236" s="115">
        <v>940.47</v>
      </c>
      <c r="M236" s="65">
        <v>5120.35</v>
      </c>
      <c r="N236" s="65">
        <v>751.25</v>
      </c>
      <c r="O236" s="65">
        <f t="shared" si="64"/>
        <v>2191</v>
      </c>
      <c r="P236" s="35">
        <f t="shared" si="3"/>
        <v>9003.07</v>
      </c>
      <c r="Q236" s="36">
        <f t="shared" si="4"/>
        <v>0.4816794179</v>
      </c>
      <c r="R236" s="36">
        <f t="shared" si="5"/>
        <v>0.5183205821</v>
      </c>
      <c r="S236" s="37"/>
      <c r="T236" s="5"/>
      <c r="U236" s="54">
        <v>203.07</v>
      </c>
      <c r="V236" s="55">
        <v>1040.63</v>
      </c>
      <c r="W236" s="55">
        <f t="shared" si="62"/>
        <v>1243.7</v>
      </c>
      <c r="X236" s="56">
        <v>0.08</v>
      </c>
      <c r="Y236" s="55">
        <f t="shared" si="63"/>
        <v>737.3983562</v>
      </c>
      <c r="Z236" s="55">
        <f t="shared" si="43"/>
        <v>737.3983562</v>
      </c>
      <c r="AA236" s="57">
        <f t="shared" si="44"/>
        <v>940.4683562</v>
      </c>
      <c r="AB236" s="5"/>
      <c r="AC236" s="42">
        <f t="shared" si="6"/>
        <v>0</v>
      </c>
      <c r="AD236" s="3">
        <f t="shared" si="7"/>
        <v>1</v>
      </c>
      <c r="AE236" s="3">
        <f t="shared" si="8"/>
        <v>0</v>
      </c>
      <c r="AF236" s="43">
        <f t="shared" si="9"/>
        <v>0</v>
      </c>
      <c r="AG236" s="44">
        <f t="shared" si="10"/>
        <v>0</v>
      </c>
      <c r="AH236" s="45">
        <f t="shared" si="11"/>
        <v>0</v>
      </c>
      <c r="AI236" s="46">
        <f t="shared" si="12"/>
        <v>0</v>
      </c>
      <c r="AJ236" s="47">
        <f t="shared" si="13"/>
        <v>0</v>
      </c>
      <c r="AK236" s="5"/>
      <c r="AL236" s="42">
        <f t="shared" si="14"/>
        <v>1</v>
      </c>
      <c r="AM236" s="3">
        <f t="shared" si="15"/>
        <v>1</v>
      </c>
      <c r="AN236" s="3">
        <f t="shared" si="16"/>
        <v>1</v>
      </c>
      <c r="AO236" s="3">
        <f t="shared" si="17"/>
        <v>5871.6</v>
      </c>
      <c r="AP236" s="44">
        <f t="shared" si="18"/>
        <v>18691</v>
      </c>
      <c r="AQ236" s="48">
        <f t="shared" si="19"/>
        <v>11.1</v>
      </c>
      <c r="AR236" s="46">
        <f t="shared" si="20"/>
        <v>0.003278806753</v>
      </c>
      <c r="AS236" s="47">
        <f t="shared" si="21"/>
        <v>0.001579333728</v>
      </c>
      <c r="AT236" s="5"/>
      <c r="AU236" s="49">
        <f t="shared" si="27"/>
        <v>18691</v>
      </c>
      <c r="AV236" s="50">
        <f t="shared" si="23"/>
        <v>1</v>
      </c>
      <c r="AW236" s="51">
        <f t="shared" si="24"/>
        <v>0.001813460374</v>
      </c>
      <c r="AX236" s="52">
        <f t="shared" si="25"/>
        <v>0.0008735065371</v>
      </c>
      <c r="AY236" s="5"/>
      <c r="AZ236" s="53">
        <f t="shared" si="26"/>
        <v>1</v>
      </c>
      <c r="BA236" s="5"/>
      <c r="BB236" s="5"/>
      <c r="BC236" s="5"/>
    </row>
    <row r="237" ht="12.75" customHeight="1">
      <c r="A237" s="25"/>
      <c r="B237" s="27" t="s">
        <v>433</v>
      </c>
      <c r="C237" s="27"/>
      <c r="D237" s="28">
        <v>12196.65</v>
      </c>
      <c r="E237" s="29" t="s">
        <v>39</v>
      </c>
      <c r="F237" s="30">
        <v>41395.0</v>
      </c>
      <c r="G237" s="30" t="s">
        <v>40</v>
      </c>
      <c r="H237" s="30">
        <v>41395.0</v>
      </c>
      <c r="I237" s="31">
        <f t="shared" si="1"/>
        <v>0</v>
      </c>
      <c r="J237" s="33" t="s">
        <v>434</v>
      </c>
      <c r="K237" s="34">
        <v>13500.0</v>
      </c>
      <c r="L237" s="115">
        <v>836.8</v>
      </c>
      <c r="M237" s="65">
        <v>1227.3799999999999</v>
      </c>
      <c r="N237" s="65">
        <v>0.0</v>
      </c>
      <c r="O237" s="65">
        <f t="shared" si="64"/>
        <v>0</v>
      </c>
      <c r="P237" s="35">
        <f t="shared" si="3"/>
        <v>760.83</v>
      </c>
      <c r="Q237" s="36">
        <f t="shared" si="4"/>
        <v>0.06238024376</v>
      </c>
      <c r="R237" s="36">
        <f t="shared" si="5"/>
        <v>0.9376197562</v>
      </c>
      <c r="S237" s="37"/>
      <c r="T237" s="5"/>
      <c r="U237" s="54">
        <v>370.65</v>
      </c>
      <c r="V237" s="55">
        <v>1272.88</v>
      </c>
      <c r="W237" s="55">
        <f t="shared" si="62"/>
        <v>1643.53</v>
      </c>
      <c r="X237" s="56">
        <v>0.0775</v>
      </c>
      <c r="Y237" s="55">
        <f t="shared" si="63"/>
        <v>466.1459384</v>
      </c>
      <c r="Z237" s="55">
        <f t="shared" si="43"/>
        <v>466.1459384</v>
      </c>
      <c r="AA237" s="57">
        <f t="shared" si="44"/>
        <v>836.7959384</v>
      </c>
      <c r="AB237" s="5"/>
      <c r="AC237" s="42">
        <f t="shared" si="6"/>
        <v>0</v>
      </c>
      <c r="AD237" s="3">
        <f t="shared" si="7"/>
        <v>1</v>
      </c>
      <c r="AE237" s="3">
        <f t="shared" si="8"/>
        <v>0</v>
      </c>
      <c r="AF237" s="43">
        <f t="shared" si="9"/>
        <v>0</v>
      </c>
      <c r="AG237" s="44">
        <f t="shared" si="10"/>
        <v>0</v>
      </c>
      <c r="AH237" s="45">
        <f t="shared" si="11"/>
        <v>0</v>
      </c>
      <c r="AI237" s="46">
        <f t="shared" si="12"/>
        <v>0</v>
      </c>
      <c r="AJ237" s="47">
        <f t="shared" si="13"/>
        <v>0</v>
      </c>
      <c r="AK237" s="5"/>
      <c r="AL237" s="42">
        <f t="shared" si="14"/>
        <v>1</v>
      </c>
      <c r="AM237" s="3">
        <f t="shared" si="15"/>
        <v>1</v>
      </c>
      <c r="AN237" s="3">
        <f t="shared" si="16"/>
        <v>1</v>
      </c>
      <c r="AO237" s="3">
        <f t="shared" si="17"/>
        <v>1227.38</v>
      </c>
      <c r="AP237" s="44">
        <f t="shared" si="18"/>
        <v>12196.65</v>
      </c>
      <c r="AQ237" s="48">
        <f t="shared" si="19"/>
        <v>0</v>
      </c>
      <c r="AR237" s="46">
        <f t="shared" si="20"/>
        <v>0.00213955692</v>
      </c>
      <c r="AS237" s="47">
        <f t="shared" si="21"/>
        <v>0.0001334660822</v>
      </c>
      <c r="AT237" s="5"/>
      <c r="AU237" s="49">
        <f t="shared" si="27"/>
        <v>12196.65</v>
      </c>
      <c r="AV237" s="50">
        <f t="shared" si="23"/>
        <v>1</v>
      </c>
      <c r="AW237" s="51">
        <f t="shared" si="24"/>
        <v>0.001183357844</v>
      </c>
      <c r="AX237" s="52">
        <f t="shared" si="25"/>
        <v>0.00007381815077</v>
      </c>
      <c r="AY237" s="5"/>
      <c r="AZ237" s="53">
        <f t="shared" si="26"/>
        <v>1</v>
      </c>
      <c r="BA237" s="5"/>
      <c r="BB237" s="5"/>
      <c r="BC237" s="5"/>
    </row>
    <row r="238" ht="12.75" customHeight="1">
      <c r="A238" s="25"/>
      <c r="B238" s="27" t="s">
        <v>435</v>
      </c>
      <c r="C238" s="27"/>
      <c r="D238" s="28">
        <v>16409.86</v>
      </c>
      <c r="E238" s="29" t="s">
        <v>39</v>
      </c>
      <c r="F238" s="30">
        <v>41395.0</v>
      </c>
      <c r="G238" s="30" t="s">
        <v>40</v>
      </c>
      <c r="H238" s="30">
        <v>41456.0</v>
      </c>
      <c r="I238" s="31">
        <f t="shared" si="1"/>
        <v>2.033333333</v>
      </c>
      <c r="J238" s="33" t="s">
        <v>436</v>
      </c>
      <c r="K238" s="34">
        <v>18500.0</v>
      </c>
      <c r="L238" s="115">
        <v>782.25</v>
      </c>
      <c r="M238" s="65">
        <v>241.86</v>
      </c>
      <c r="N238" s="65">
        <v>84.89000000000001</v>
      </c>
      <c r="O238" s="65">
        <v>0.0</v>
      </c>
      <c r="P238" s="35">
        <f t="shared" si="3"/>
        <v>0</v>
      </c>
      <c r="Q238" s="36">
        <f t="shared" si="4"/>
        <v>0</v>
      </c>
      <c r="R238" s="36">
        <f t="shared" si="5"/>
        <v>1</v>
      </c>
      <c r="S238" s="37"/>
      <c r="T238" s="5"/>
      <c r="U238" s="54">
        <v>53.92</v>
      </c>
      <c r="V238" s="55">
        <v>750.54</v>
      </c>
      <c r="W238" s="55">
        <f t="shared" si="62"/>
        <v>804.46</v>
      </c>
      <c r="X238" s="56">
        <v>0.09</v>
      </c>
      <c r="Y238" s="55">
        <f t="shared" si="63"/>
        <v>728.3280329</v>
      </c>
      <c r="Z238" s="55">
        <f t="shared" si="43"/>
        <v>728.3280329</v>
      </c>
      <c r="AA238" s="57">
        <f t="shared" si="44"/>
        <v>782.2480329</v>
      </c>
      <c r="AB238" s="5"/>
      <c r="AC238" s="42">
        <f t="shared" si="6"/>
        <v>0</v>
      </c>
      <c r="AD238" s="3">
        <f t="shared" si="7"/>
        <v>1</v>
      </c>
      <c r="AE238" s="3">
        <f t="shared" si="8"/>
        <v>0</v>
      </c>
      <c r="AF238" s="43">
        <f t="shared" si="9"/>
        <v>0</v>
      </c>
      <c r="AG238" s="44">
        <f t="shared" si="10"/>
        <v>0</v>
      </c>
      <c r="AH238" s="45">
        <f t="shared" si="11"/>
        <v>0</v>
      </c>
      <c r="AI238" s="46">
        <f t="shared" si="12"/>
        <v>0</v>
      </c>
      <c r="AJ238" s="47">
        <f t="shared" si="13"/>
        <v>0</v>
      </c>
      <c r="AK238" s="5"/>
      <c r="AL238" s="42">
        <f t="shared" si="14"/>
        <v>1</v>
      </c>
      <c r="AM238" s="3">
        <f t="shared" si="15"/>
        <v>1</v>
      </c>
      <c r="AN238" s="3">
        <f t="shared" si="16"/>
        <v>1</v>
      </c>
      <c r="AO238" s="3">
        <f t="shared" si="17"/>
        <v>326.75</v>
      </c>
      <c r="AP238" s="44">
        <f t="shared" si="18"/>
        <v>16409.86</v>
      </c>
      <c r="AQ238" s="48">
        <f t="shared" si="19"/>
        <v>2.033333333</v>
      </c>
      <c r="AR238" s="46">
        <f t="shared" si="20"/>
        <v>0.002878645326</v>
      </c>
      <c r="AS238" s="47">
        <f t="shared" si="21"/>
        <v>0</v>
      </c>
      <c r="AT238" s="5"/>
      <c r="AU238" s="49">
        <f t="shared" si="27"/>
        <v>16409.86</v>
      </c>
      <c r="AV238" s="50">
        <f t="shared" si="23"/>
        <v>1</v>
      </c>
      <c r="AW238" s="51">
        <f t="shared" si="24"/>
        <v>0.001592136903</v>
      </c>
      <c r="AX238" s="52">
        <f t="shared" si="25"/>
        <v>0</v>
      </c>
      <c r="AY238" s="5"/>
      <c r="AZ238" s="53">
        <f t="shared" si="26"/>
        <v>1</v>
      </c>
      <c r="BA238" s="5"/>
      <c r="BB238" s="5"/>
      <c r="BC238" s="5"/>
    </row>
    <row r="239" ht="12.75" customHeight="1">
      <c r="A239" s="25"/>
      <c r="B239" s="27" t="s">
        <v>164</v>
      </c>
      <c r="C239" s="27"/>
      <c r="D239" s="28">
        <v>10258.57</v>
      </c>
      <c r="E239" s="29" t="s">
        <v>39</v>
      </c>
      <c r="F239" s="30">
        <v>41395.0</v>
      </c>
      <c r="G239" s="30" t="s">
        <v>40</v>
      </c>
      <c r="H239" s="30">
        <v>41818.0</v>
      </c>
      <c r="I239" s="31">
        <f t="shared" si="1"/>
        <v>14.1</v>
      </c>
      <c r="J239" s="33" t="s">
        <v>437</v>
      </c>
      <c r="K239" s="34">
        <v>10000.0</v>
      </c>
      <c r="L239" s="115">
        <v>684.22</v>
      </c>
      <c r="M239" s="65">
        <v>726.34</v>
      </c>
      <c r="N239" s="65">
        <v>484.56</v>
      </c>
      <c r="O239" s="65">
        <v>0.0</v>
      </c>
      <c r="P239" s="35">
        <f t="shared" si="3"/>
        <v>2153.69</v>
      </c>
      <c r="Q239" s="36">
        <f t="shared" si="4"/>
        <v>0.2099405668</v>
      </c>
      <c r="R239" s="36">
        <f t="shared" si="5"/>
        <v>0.7900594332</v>
      </c>
      <c r="S239" s="37"/>
      <c r="T239" s="5"/>
      <c r="U239" s="54">
        <v>304.79</v>
      </c>
      <c r="V239" s="55">
        <v>612.91</v>
      </c>
      <c r="W239" s="55">
        <f t="shared" si="62"/>
        <v>917.7</v>
      </c>
      <c r="X239" s="56">
        <v>0.075</v>
      </c>
      <c r="Y239" s="55">
        <f t="shared" si="63"/>
        <v>379.4265616</v>
      </c>
      <c r="Z239" s="55">
        <f t="shared" si="43"/>
        <v>379.4265616</v>
      </c>
      <c r="AA239" s="57">
        <f t="shared" si="44"/>
        <v>684.2165616</v>
      </c>
      <c r="AB239" s="5"/>
      <c r="AC239" s="42">
        <f t="shared" si="6"/>
        <v>0</v>
      </c>
      <c r="AD239" s="3">
        <f t="shared" si="7"/>
        <v>1</v>
      </c>
      <c r="AE239" s="3">
        <f t="shared" si="8"/>
        <v>0</v>
      </c>
      <c r="AF239" s="43">
        <f t="shared" si="9"/>
        <v>0</v>
      </c>
      <c r="AG239" s="44">
        <f t="shared" si="10"/>
        <v>0</v>
      </c>
      <c r="AH239" s="45">
        <f t="shared" si="11"/>
        <v>0</v>
      </c>
      <c r="AI239" s="46">
        <f t="shared" si="12"/>
        <v>0</v>
      </c>
      <c r="AJ239" s="47">
        <f t="shared" si="13"/>
        <v>0</v>
      </c>
      <c r="AK239" s="5"/>
      <c r="AL239" s="42">
        <f t="shared" si="14"/>
        <v>1</v>
      </c>
      <c r="AM239" s="3">
        <f t="shared" si="15"/>
        <v>1</v>
      </c>
      <c r="AN239" s="3">
        <f t="shared" si="16"/>
        <v>1</v>
      </c>
      <c r="AO239" s="3">
        <f t="shared" si="17"/>
        <v>1210.9</v>
      </c>
      <c r="AP239" s="44">
        <f t="shared" si="18"/>
        <v>10258.57</v>
      </c>
      <c r="AQ239" s="48">
        <f t="shared" si="19"/>
        <v>14.1</v>
      </c>
      <c r="AR239" s="46">
        <f t="shared" si="20"/>
        <v>0.001799575656</v>
      </c>
      <c r="AS239" s="47">
        <f t="shared" si="21"/>
        <v>0.0003778039332</v>
      </c>
      <c r="AT239" s="5"/>
      <c r="AU239" s="49">
        <f t="shared" si="27"/>
        <v>10258.57</v>
      </c>
      <c r="AV239" s="50">
        <f t="shared" si="23"/>
        <v>1</v>
      </c>
      <c r="AW239" s="51">
        <f t="shared" si="24"/>
        <v>0.0009953191474</v>
      </c>
      <c r="AX239" s="52">
        <f t="shared" si="25"/>
        <v>0.0002089578659</v>
      </c>
      <c r="AY239" s="5"/>
      <c r="AZ239" s="53">
        <f t="shared" si="26"/>
        <v>1</v>
      </c>
      <c r="BA239" s="5"/>
      <c r="BB239" s="5"/>
      <c r="BC239" s="5"/>
    </row>
    <row r="240" ht="12.75" customHeight="1">
      <c r="A240" s="25"/>
      <c r="B240" s="27" t="s">
        <v>438</v>
      </c>
      <c r="C240" s="27"/>
      <c r="D240" s="28">
        <v>17335.9</v>
      </c>
      <c r="E240" s="94" t="s">
        <v>49</v>
      </c>
      <c r="F240" s="30">
        <v>41426.0</v>
      </c>
      <c r="G240" s="30" t="s">
        <v>40</v>
      </c>
      <c r="H240" s="30">
        <v>41426.0</v>
      </c>
      <c r="I240" s="31">
        <f t="shared" si="1"/>
        <v>0</v>
      </c>
      <c r="J240" s="33" t="s">
        <v>439</v>
      </c>
      <c r="K240" s="34">
        <v>20000.0</v>
      </c>
      <c r="L240" s="65">
        <v>790.28</v>
      </c>
      <c r="M240" s="65">
        <v>1254.4500000000003</v>
      </c>
      <c r="N240" s="65">
        <v>0.0</v>
      </c>
      <c r="O240" s="65">
        <f>IF(K240="N/A",0,IF(K240-D240&gt;0,0,D240-K240))</f>
        <v>0</v>
      </c>
      <c r="P240" s="35">
        <f t="shared" si="3"/>
        <v>0</v>
      </c>
      <c r="Q240" s="36">
        <f t="shared" si="4"/>
        <v>0</v>
      </c>
      <c r="R240" s="36">
        <f t="shared" si="5"/>
        <v>1</v>
      </c>
      <c r="S240" s="37"/>
      <c r="T240" s="5"/>
      <c r="U240" s="54">
        <v>96.68</v>
      </c>
      <c r="V240" s="55">
        <v>596.92</v>
      </c>
      <c r="W240" s="55">
        <f t="shared" si="62"/>
        <v>693.6</v>
      </c>
      <c r="X240" s="56">
        <v>0.0871</v>
      </c>
      <c r="Y240" s="55">
        <f t="shared" si="63"/>
        <v>744.6362745</v>
      </c>
      <c r="Z240" s="55">
        <f t="shared" si="43"/>
        <v>693.6</v>
      </c>
      <c r="AA240" s="57">
        <f t="shared" si="44"/>
        <v>790.28</v>
      </c>
      <c r="AB240" s="5"/>
      <c r="AC240" s="42">
        <f t="shared" si="6"/>
        <v>1</v>
      </c>
      <c r="AD240" s="3">
        <f t="shared" si="7"/>
        <v>1</v>
      </c>
      <c r="AE240" s="3">
        <f t="shared" si="8"/>
        <v>1</v>
      </c>
      <c r="AF240" s="43">
        <f t="shared" si="9"/>
        <v>1254.45</v>
      </c>
      <c r="AG240" s="44">
        <f t="shared" si="10"/>
        <v>17335.9</v>
      </c>
      <c r="AH240" s="45">
        <f t="shared" si="11"/>
        <v>0</v>
      </c>
      <c r="AI240" s="46">
        <f t="shared" si="12"/>
        <v>0.003751541699</v>
      </c>
      <c r="AJ240" s="47">
        <f t="shared" si="13"/>
        <v>0</v>
      </c>
      <c r="AK240" s="5"/>
      <c r="AL240" s="42">
        <f t="shared" si="14"/>
        <v>0</v>
      </c>
      <c r="AM240" s="3">
        <f t="shared" si="15"/>
        <v>1</v>
      </c>
      <c r="AN240" s="3">
        <f t="shared" si="16"/>
        <v>0</v>
      </c>
      <c r="AO240" s="3">
        <f t="shared" si="17"/>
        <v>0</v>
      </c>
      <c r="AP240" s="44">
        <f t="shared" si="18"/>
        <v>0</v>
      </c>
      <c r="AQ240" s="48">
        <f t="shared" si="19"/>
        <v>0</v>
      </c>
      <c r="AR240" s="46">
        <f t="shared" si="20"/>
        <v>0</v>
      </c>
      <c r="AS240" s="47">
        <f t="shared" si="21"/>
        <v>0</v>
      </c>
      <c r="AT240" s="5"/>
      <c r="AU240" s="49">
        <f t="shared" si="27"/>
        <v>17335.9</v>
      </c>
      <c r="AV240" s="50">
        <f t="shared" si="23"/>
        <v>1</v>
      </c>
      <c r="AW240" s="51">
        <f t="shared" si="24"/>
        <v>0.001681984254</v>
      </c>
      <c r="AX240" s="52">
        <f t="shared" si="25"/>
        <v>0</v>
      </c>
      <c r="AY240" s="5"/>
      <c r="AZ240" s="53">
        <f t="shared" si="26"/>
        <v>1</v>
      </c>
      <c r="BA240" s="5"/>
      <c r="BB240" s="5"/>
      <c r="BC240" s="5"/>
    </row>
    <row r="241" ht="12.75" customHeight="1">
      <c r="A241" s="25"/>
      <c r="B241" s="27" t="s">
        <v>440</v>
      </c>
      <c r="C241" s="27"/>
      <c r="D241" s="28">
        <v>12769.1</v>
      </c>
      <c r="E241" s="94" t="s">
        <v>49</v>
      </c>
      <c r="F241" s="30">
        <v>41426.0</v>
      </c>
      <c r="G241" s="30" t="s">
        <v>40</v>
      </c>
      <c r="H241" s="30">
        <v>41487.0</v>
      </c>
      <c r="I241" s="31">
        <f t="shared" si="1"/>
        <v>2.033333333</v>
      </c>
      <c r="J241" s="33" t="s">
        <v>441</v>
      </c>
      <c r="K241" s="34">
        <v>14500.0</v>
      </c>
      <c r="L241" s="65">
        <v>198.83</v>
      </c>
      <c r="M241" s="65">
        <v>1568.82</v>
      </c>
      <c r="N241" s="65">
        <v>539.4</v>
      </c>
      <c r="O241" s="65">
        <v>0.0</v>
      </c>
      <c r="P241" s="35">
        <f t="shared" si="3"/>
        <v>576.15</v>
      </c>
      <c r="Q241" s="36">
        <f t="shared" si="4"/>
        <v>0.0451206428</v>
      </c>
      <c r="R241" s="36">
        <f t="shared" si="5"/>
        <v>0.9548793572</v>
      </c>
      <c r="S241" s="37"/>
      <c r="T241" s="5"/>
      <c r="U241" s="54">
        <v>0.0</v>
      </c>
      <c r="V241" s="55">
        <v>198.83</v>
      </c>
      <c r="W241" s="55">
        <f t="shared" si="62"/>
        <v>198.83</v>
      </c>
      <c r="X241" s="56">
        <v>0.0775</v>
      </c>
      <c r="Y241" s="55">
        <f t="shared" si="63"/>
        <v>488.0245068</v>
      </c>
      <c r="Z241" s="55">
        <f t="shared" si="43"/>
        <v>198.83</v>
      </c>
      <c r="AA241" s="57">
        <f t="shared" si="44"/>
        <v>198.83</v>
      </c>
      <c r="AB241" s="5"/>
      <c r="AC241" s="42">
        <f t="shared" si="6"/>
        <v>1</v>
      </c>
      <c r="AD241" s="3">
        <f t="shared" si="7"/>
        <v>1</v>
      </c>
      <c r="AE241" s="3">
        <f t="shared" si="8"/>
        <v>1</v>
      </c>
      <c r="AF241" s="43">
        <f t="shared" si="9"/>
        <v>2108.22</v>
      </c>
      <c r="AG241" s="44">
        <f t="shared" si="10"/>
        <v>12769.1</v>
      </c>
      <c r="AH241" s="45">
        <f t="shared" si="11"/>
        <v>2.033333333</v>
      </c>
      <c r="AI241" s="46">
        <f t="shared" si="12"/>
        <v>0.002763272233</v>
      </c>
      <c r="AJ241" s="47">
        <f t="shared" si="13"/>
        <v>0.0001246806194</v>
      </c>
      <c r="AK241" s="5"/>
      <c r="AL241" s="42">
        <f t="shared" si="14"/>
        <v>0</v>
      </c>
      <c r="AM241" s="3">
        <f t="shared" si="15"/>
        <v>1</v>
      </c>
      <c r="AN241" s="3">
        <f t="shared" si="16"/>
        <v>0</v>
      </c>
      <c r="AO241" s="3">
        <f t="shared" si="17"/>
        <v>0</v>
      </c>
      <c r="AP241" s="44">
        <f t="shared" si="18"/>
        <v>0</v>
      </c>
      <c r="AQ241" s="48">
        <f t="shared" si="19"/>
        <v>0</v>
      </c>
      <c r="AR241" s="46">
        <f t="shared" si="20"/>
        <v>0</v>
      </c>
      <c r="AS241" s="47">
        <f t="shared" si="21"/>
        <v>0</v>
      </c>
      <c r="AT241" s="5"/>
      <c r="AU241" s="49">
        <f t="shared" si="27"/>
        <v>12769.1</v>
      </c>
      <c r="AV241" s="50">
        <f t="shared" si="23"/>
        <v>1</v>
      </c>
      <c r="AW241" s="51">
        <f t="shared" si="24"/>
        <v>0.001238898767</v>
      </c>
      <c r="AX241" s="52">
        <f t="shared" si="25"/>
        <v>0.00005589990874</v>
      </c>
      <c r="AY241" s="5"/>
      <c r="AZ241" s="53">
        <f t="shared" si="26"/>
        <v>1</v>
      </c>
      <c r="BA241" s="5"/>
      <c r="BB241" s="5"/>
      <c r="BC241" s="5"/>
    </row>
    <row r="242" ht="12.75" customHeight="1">
      <c r="A242" s="25"/>
      <c r="B242" s="27" t="s">
        <v>442</v>
      </c>
      <c r="C242" s="27"/>
      <c r="D242" s="28">
        <v>16221.4</v>
      </c>
      <c r="E242" s="94" t="s">
        <v>49</v>
      </c>
      <c r="F242" s="30">
        <v>41426.0</v>
      </c>
      <c r="G242" s="30" t="s">
        <v>40</v>
      </c>
      <c r="H242" s="30">
        <v>41548.0</v>
      </c>
      <c r="I242" s="31">
        <f t="shared" si="1"/>
        <v>4.066666667</v>
      </c>
      <c r="J242" s="33" t="s">
        <v>443</v>
      </c>
      <c r="K242" s="34">
        <v>18000.0</v>
      </c>
      <c r="L242" s="115">
        <v>1691.37</v>
      </c>
      <c r="M242" s="65">
        <v>2872.71</v>
      </c>
      <c r="N242" s="65">
        <v>384.47</v>
      </c>
      <c r="O242" s="65">
        <v>0.0</v>
      </c>
      <c r="P242" s="35">
        <f t="shared" si="3"/>
        <v>3169.95</v>
      </c>
      <c r="Q242" s="36">
        <f t="shared" si="4"/>
        <v>0.1954177814</v>
      </c>
      <c r="R242" s="36">
        <f t="shared" si="5"/>
        <v>0.8045822186</v>
      </c>
      <c r="S242" s="37"/>
      <c r="T242" s="5"/>
      <c r="U242" s="54">
        <v>1071.4</v>
      </c>
      <c r="V242" s="55">
        <v>1990.79</v>
      </c>
      <c r="W242" s="55">
        <f t="shared" si="62"/>
        <v>3062.19</v>
      </c>
      <c r="X242" s="56">
        <v>0.0775</v>
      </c>
      <c r="Y242" s="55">
        <f t="shared" si="63"/>
        <v>619.9685753</v>
      </c>
      <c r="Z242" s="55">
        <f t="shared" si="43"/>
        <v>619.9685753</v>
      </c>
      <c r="AA242" s="57">
        <f t="shared" si="44"/>
        <v>1691.368575</v>
      </c>
      <c r="AB242" s="5"/>
      <c r="AC242" s="42">
        <f t="shared" si="6"/>
        <v>1</v>
      </c>
      <c r="AD242" s="3">
        <f t="shared" si="7"/>
        <v>1</v>
      </c>
      <c r="AE242" s="3">
        <f t="shared" si="8"/>
        <v>1</v>
      </c>
      <c r="AF242" s="43">
        <f t="shared" si="9"/>
        <v>3257.18</v>
      </c>
      <c r="AG242" s="44">
        <f t="shared" si="10"/>
        <v>16221.4</v>
      </c>
      <c r="AH242" s="45">
        <f t="shared" si="11"/>
        <v>4.066666667</v>
      </c>
      <c r="AI242" s="46">
        <f t="shared" si="12"/>
        <v>0.003510360495</v>
      </c>
      <c r="AJ242" s="47">
        <f t="shared" si="13"/>
        <v>0.0006859868601</v>
      </c>
      <c r="AK242" s="5"/>
      <c r="AL242" s="42">
        <f t="shared" si="14"/>
        <v>0</v>
      </c>
      <c r="AM242" s="3">
        <f t="shared" si="15"/>
        <v>1</v>
      </c>
      <c r="AN242" s="3">
        <f t="shared" si="16"/>
        <v>0</v>
      </c>
      <c r="AO242" s="3">
        <f t="shared" si="17"/>
        <v>0</v>
      </c>
      <c r="AP242" s="44">
        <f t="shared" si="18"/>
        <v>0</v>
      </c>
      <c r="AQ242" s="48">
        <f t="shared" si="19"/>
        <v>0</v>
      </c>
      <c r="AR242" s="46">
        <f t="shared" si="20"/>
        <v>0</v>
      </c>
      <c r="AS242" s="47">
        <f t="shared" si="21"/>
        <v>0</v>
      </c>
      <c r="AT242" s="5"/>
      <c r="AU242" s="49">
        <f t="shared" si="27"/>
        <v>16221.4</v>
      </c>
      <c r="AV242" s="50">
        <f t="shared" si="23"/>
        <v>1</v>
      </c>
      <c r="AW242" s="51">
        <f t="shared" si="24"/>
        <v>0.001573851913</v>
      </c>
      <c r="AX242" s="52">
        <f t="shared" si="25"/>
        <v>0.0003075586491</v>
      </c>
      <c r="AY242" s="5"/>
      <c r="AZ242" s="53">
        <f t="shared" si="26"/>
        <v>1</v>
      </c>
      <c r="BA242" s="5"/>
      <c r="BB242" s="5"/>
      <c r="BC242" s="5"/>
    </row>
    <row r="243" ht="12.75" customHeight="1">
      <c r="A243" s="25"/>
      <c r="B243" s="27" t="s">
        <v>444</v>
      </c>
      <c r="C243" s="27"/>
      <c r="D243" s="28">
        <v>13340.19</v>
      </c>
      <c r="E243" s="94" t="s">
        <v>49</v>
      </c>
      <c r="F243" s="30">
        <v>41426.0</v>
      </c>
      <c r="G243" s="30" t="s">
        <v>40</v>
      </c>
      <c r="H243" s="30">
        <v>41639.0</v>
      </c>
      <c r="I243" s="32">
        <f t="shared" si="1"/>
        <v>7.1</v>
      </c>
      <c r="J243" s="33" t="s">
        <v>445</v>
      </c>
      <c r="K243" s="34">
        <v>13000.0</v>
      </c>
      <c r="L243" s="115">
        <v>946.51</v>
      </c>
      <c r="M243" s="35">
        <v>1474.68</v>
      </c>
      <c r="N243" s="35">
        <v>128.5</v>
      </c>
      <c r="O243" s="35">
        <f>IF(K243="N/A",0,IF(K243-D243&gt;0,0,D243-K243))</f>
        <v>340.19</v>
      </c>
      <c r="P243" s="35">
        <f t="shared" si="3"/>
        <v>2889.88</v>
      </c>
      <c r="Q243" s="36">
        <f t="shared" si="4"/>
        <v>0.2166295982</v>
      </c>
      <c r="R243" s="36">
        <f t="shared" si="5"/>
        <v>0.7833704018</v>
      </c>
      <c r="S243" s="37"/>
      <c r="T243" s="5"/>
      <c r="U243" s="54">
        <v>370.87</v>
      </c>
      <c r="V243" s="55">
        <v>2317.35</v>
      </c>
      <c r="W243" s="55">
        <f t="shared" si="62"/>
        <v>2688.22</v>
      </c>
      <c r="X243" s="56">
        <v>0.0875</v>
      </c>
      <c r="Y243" s="55">
        <f t="shared" si="63"/>
        <v>575.6383356</v>
      </c>
      <c r="Z243" s="55">
        <f t="shared" si="43"/>
        <v>575.6383356</v>
      </c>
      <c r="AA243" s="57">
        <f t="shared" si="44"/>
        <v>946.5083356</v>
      </c>
      <c r="AB243" s="5"/>
      <c r="AC243" s="42">
        <f t="shared" si="6"/>
        <v>1</v>
      </c>
      <c r="AD243" s="3">
        <f t="shared" si="7"/>
        <v>1</v>
      </c>
      <c r="AE243" s="3">
        <f t="shared" si="8"/>
        <v>1</v>
      </c>
      <c r="AF243" s="43">
        <f t="shared" si="9"/>
        <v>1603.18</v>
      </c>
      <c r="AG243" s="44">
        <f t="shared" si="10"/>
        <v>13340.19</v>
      </c>
      <c r="AH243" s="45">
        <f t="shared" si="11"/>
        <v>7.1</v>
      </c>
      <c r="AI243" s="46">
        <f t="shared" si="12"/>
        <v>0.002886857853</v>
      </c>
      <c r="AJ243" s="47">
        <f t="shared" si="13"/>
        <v>0.0006253788568</v>
      </c>
      <c r="AK243" s="5"/>
      <c r="AL243" s="42">
        <f t="shared" si="14"/>
        <v>0</v>
      </c>
      <c r="AM243" s="3">
        <f t="shared" si="15"/>
        <v>1</v>
      </c>
      <c r="AN243" s="3">
        <f t="shared" si="16"/>
        <v>0</v>
      </c>
      <c r="AO243" s="3">
        <f t="shared" si="17"/>
        <v>0</v>
      </c>
      <c r="AP243" s="44">
        <f t="shared" si="18"/>
        <v>0</v>
      </c>
      <c r="AQ243" s="48">
        <f t="shared" si="19"/>
        <v>0</v>
      </c>
      <c r="AR243" s="46">
        <f t="shared" si="20"/>
        <v>0</v>
      </c>
      <c r="AS243" s="47">
        <f t="shared" si="21"/>
        <v>0</v>
      </c>
      <c r="AT243" s="5"/>
      <c r="AU243" s="49">
        <f t="shared" si="27"/>
        <v>13340.19</v>
      </c>
      <c r="AV243" s="50">
        <f t="shared" si="23"/>
        <v>1</v>
      </c>
      <c r="AW243" s="51">
        <f t="shared" si="24"/>
        <v>0.001294307739</v>
      </c>
      <c r="AX243" s="52">
        <f t="shared" si="25"/>
        <v>0.0002803853654</v>
      </c>
      <c r="AY243" s="5"/>
      <c r="AZ243" s="53">
        <f t="shared" si="26"/>
        <v>1</v>
      </c>
      <c r="BA243" s="5"/>
      <c r="BB243" s="5"/>
      <c r="BC243" s="5"/>
    </row>
    <row r="244" ht="12.75" customHeight="1">
      <c r="A244" s="25"/>
      <c r="B244" s="27" t="s">
        <v>446</v>
      </c>
      <c r="C244" s="113"/>
      <c r="D244" s="28">
        <v>32761.31</v>
      </c>
      <c r="E244" s="94" t="s">
        <v>49</v>
      </c>
      <c r="F244" s="30">
        <v>41426.0</v>
      </c>
      <c r="G244" s="30" t="s">
        <v>40</v>
      </c>
      <c r="H244" s="30">
        <v>41670.0</v>
      </c>
      <c r="I244" s="32">
        <f t="shared" si="1"/>
        <v>8.133333333</v>
      </c>
      <c r="J244" s="33" t="s">
        <v>447</v>
      </c>
      <c r="K244" s="34">
        <v>35000.0</v>
      </c>
      <c r="L244" s="115">
        <v>1252.11</v>
      </c>
      <c r="M244" s="65">
        <v>2688.22</v>
      </c>
      <c r="N244" s="65">
        <v>3155.1699999999996</v>
      </c>
      <c r="O244" s="35">
        <v>0.0</v>
      </c>
      <c r="P244" s="35">
        <f t="shared" si="3"/>
        <v>4856.81</v>
      </c>
      <c r="Q244" s="36">
        <f t="shared" si="4"/>
        <v>0.1482483454</v>
      </c>
      <c r="R244" s="36">
        <f t="shared" si="5"/>
        <v>0.8517516546</v>
      </c>
      <c r="S244" s="37"/>
      <c r="T244" s="5"/>
      <c r="U244" s="54">
        <v>0.0</v>
      </c>
      <c r="V244" s="55">
        <v>1345.09</v>
      </c>
      <c r="W244" s="55">
        <f t="shared" si="62"/>
        <v>1345.09</v>
      </c>
      <c r="X244" s="56">
        <v>0.0775</v>
      </c>
      <c r="Y244" s="55">
        <f t="shared" si="63"/>
        <v>1252.110341</v>
      </c>
      <c r="Z244" s="55">
        <f t="shared" si="43"/>
        <v>1252.110341</v>
      </c>
      <c r="AA244" s="57">
        <f t="shared" si="44"/>
        <v>1252.110341</v>
      </c>
      <c r="AB244" s="5"/>
      <c r="AC244" s="42">
        <f t="shared" si="6"/>
        <v>1</v>
      </c>
      <c r="AD244" s="3">
        <f t="shared" si="7"/>
        <v>1</v>
      </c>
      <c r="AE244" s="3">
        <f t="shared" si="8"/>
        <v>1</v>
      </c>
      <c r="AF244" s="43">
        <f t="shared" si="9"/>
        <v>5843.39</v>
      </c>
      <c r="AG244" s="44">
        <f t="shared" si="10"/>
        <v>32761.31</v>
      </c>
      <c r="AH244" s="45">
        <f t="shared" si="11"/>
        <v>8.133333333</v>
      </c>
      <c r="AI244" s="46">
        <f t="shared" si="12"/>
        <v>0.007089647527</v>
      </c>
      <c r="AJ244" s="47">
        <f t="shared" si="13"/>
        <v>0.001051028515</v>
      </c>
      <c r="AK244" s="5"/>
      <c r="AL244" s="42">
        <f t="shared" si="14"/>
        <v>0</v>
      </c>
      <c r="AM244" s="3">
        <f t="shared" si="15"/>
        <v>1</v>
      </c>
      <c r="AN244" s="3">
        <f t="shared" si="16"/>
        <v>0</v>
      </c>
      <c r="AO244" s="3">
        <f t="shared" si="17"/>
        <v>0</v>
      </c>
      <c r="AP244" s="44">
        <f t="shared" si="18"/>
        <v>0</v>
      </c>
      <c r="AQ244" s="48">
        <f t="shared" si="19"/>
        <v>0</v>
      </c>
      <c r="AR244" s="46">
        <f t="shared" si="20"/>
        <v>0</v>
      </c>
      <c r="AS244" s="47">
        <f t="shared" si="21"/>
        <v>0</v>
      </c>
      <c r="AT244" s="5"/>
      <c r="AU244" s="49">
        <f t="shared" si="27"/>
        <v>32761.31</v>
      </c>
      <c r="AV244" s="50">
        <f t="shared" si="23"/>
        <v>1</v>
      </c>
      <c r="AW244" s="51">
        <f t="shared" si="24"/>
        <v>0.003178606681</v>
      </c>
      <c r="AX244" s="52">
        <f t="shared" si="25"/>
        <v>0.000471223181</v>
      </c>
      <c r="AY244" s="5"/>
      <c r="AZ244" s="53">
        <f t="shared" si="26"/>
        <v>1</v>
      </c>
      <c r="BA244" s="5"/>
      <c r="BB244" s="5"/>
      <c r="BC244" s="5"/>
    </row>
    <row r="245" ht="12.75" customHeight="1">
      <c r="A245" s="25"/>
      <c r="B245" s="27" t="s">
        <v>448</v>
      </c>
      <c r="C245" s="27"/>
      <c r="D245" s="28">
        <v>31445.0</v>
      </c>
      <c r="E245" s="94" t="s">
        <v>49</v>
      </c>
      <c r="F245" s="30">
        <v>41426.0</v>
      </c>
      <c r="G245" s="30" t="s">
        <v>40</v>
      </c>
      <c r="H245" s="30">
        <v>41940.0</v>
      </c>
      <c r="I245" s="32">
        <f t="shared" si="1"/>
        <v>17.13333333</v>
      </c>
      <c r="J245" s="33" t="s">
        <v>449</v>
      </c>
      <c r="K245" s="34">
        <v>38500.0</v>
      </c>
      <c r="L245" s="115">
        <v>1305.0</v>
      </c>
      <c r="M245" s="35">
        <v>4137.1</v>
      </c>
      <c r="N245" s="35">
        <v>657.32</v>
      </c>
      <c r="O245" s="35">
        <v>0.0</v>
      </c>
      <c r="P245" s="35">
        <f t="shared" si="3"/>
        <v>0</v>
      </c>
      <c r="Q245" s="36">
        <f t="shared" si="4"/>
        <v>0</v>
      </c>
      <c r="R245" s="36">
        <f t="shared" si="5"/>
        <v>1</v>
      </c>
      <c r="S245" s="37"/>
      <c r="T245" s="5"/>
      <c r="U245" s="54">
        <v>103.2</v>
      </c>
      <c r="V245" s="55">
        <v>1796.04</v>
      </c>
      <c r="W245" s="55">
        <f t="shared" si="62"/>
        <v>1899.24</v>
      </c>
      <c r="X245" s="56">
        <v>0.0775</v>
      </c>
      <c r="Y245" s="55">
        <f t="shared" si="63"/>
        <v>1201.802055</v>
      </c>
      <c r="Z245" s="55">
        <f t="shared" si="43"/>
        <v>1201.802055</v>
      </c>
      <c r="AA245" s="57">
        <f t="shared" si="44"/>
        <v>1305.002055</v>
      </c>
      <c r="AB245" s="5"/>
      <c r="AC245" s="42">
        <f t="shared" si="6"/>
        <v>1</v>
      </c>
      <c r="AD245" s="3">
        <f t="shared" si="7"/>
        <v>1</v>
      </c>
      <c r="AE245" s="3">
        <f t="shared" si="8"/>
        <v>1</v>
      </c>
      <c r="AF245" s="43">
        <f t="shared" si="9"/>
        <v>4794.42</v>
      </c>
      <c r="AG245" s="44">
        <f t="shared" si="10"/>
        <v>31445</v>
      </c>
      <c r="AH245" s="45">
        <f t="shared" si="11"/>
        <v>17.13333333</v>
      </c>
      <c r="AI245" s="46">
        <f t="shared" si="12"/>
        <v>0.006804794024</v>
      </c>
      <c r="AJ245" s="47">
        <f t="shared" si="13"/>
        <v>0</v>
      </c>
      <c r="AK245" s="5"/>
      <c r="AL245" s="42">
        <f t="shared" si="14"/>
        <v>0</v>
      </c>
      <c r="AM245" s="3">
        <f t="shared" si="15"/>
        <v>1</v>
      </c>
      <c r="AN245" s="3">
        <f t="shared" si="16"/>
        <v>0</v>
      </c>
      <c r="AO245" s="3">
        <f t="shared" si="17"/>
        <v>0</v>
      </c>
      <c r="AP245" s="44">
        <f t="shared" si="18"/>
        <v>0</v>
      </c>
      <c r="AQ245" s="48">
        <f t="shared" si="19"/>
        <v>0</v>
      </c>
      <c r="AR245" s="46">
        <f t="shared" si="20"/>
        <v>0</v>
      </c>
      <c r="AS245" s="47">
        <f t="shared" si="21"/>
        <v>0</v>
      </c>
      <c r="AT245" s="5"/>
      <c r="AU245" s="49">
        <f t="shared" si="27"/>
        <v>31445</v>
      </c>
      <c r="AV245" s="50">
        <f t="shared" si="23"/>
        <v>1</v>
      </c>
      <c r="AW245" s="51">
        <f t="shared" si="24"/>
        <v>0.003050894091</v>
      </c>
      <c r="AX245" s="52">
        <f t="shared" si="25"/>
        <v>0</v>
      </c>
      <c r="AY245" s="5"/>
      <c r="AZ245" s="53">
        <f t="shared" si="26"/>
        <v>1</v>
      </c>
      <c r="BA245" s="5"/>
      <c r="BB245" s="5"/>
      <c r="BC245" s="5"/>
    </row>
    <row r="246" ht="12.75" customHeight="1">
      <c r="A246" s="69"/>
      <c r="B246" s="27" t="s">
        <v>450</v>
      </c>
      <c r="C246" s="27"/>
      <c r="D246" s="28">
        <v>12232.39</v>
      </c>
      <c r="E246" s="94" t="s">
        <v>49</v>
      </c>
      <c r="F246" s="30">
        <v>41456.0</v>
      </c>
      <c r="G246" s="30" t="s">
        <v>40</v>
      </c>
      <c r="H246" s="30">
        <v>41456.0</v>
      </c>
      <c r="I246" s="32">
        <f t="shared" si="1"/>
        <v>0</v>
      </c>
      <c r="J246" s="33" t="s">
        <v>451</v>
      </c>
      <c r="K246" s="34">
        <v>12500.0</v>
      </c>
      <c r="L246" s="115">
        <v>490.82</v>
      </c>
      <c r="M246" s="35">
        <v>691.1349999999999</v>
      </c>
      <c r="N246" s="35">
        <v>0.0</v>
      </c>
      <c r="O246" s="35">
        <f t="shared" ref="O246:O396" si="65">IF(K246="N/A",0,IF(K246-D246&gt;0,0,D246-K246))</f>
        <v>0</v>
      </c>
      <c r="P246" s="35">
        <f t="shared" si="3"/>
        <v>914.345</v>
      </c>
      <c r="Q246" s="36">
        <f t="shared" si="4"/>
        <v>0.07474786203</v>
      </c>
      <c r="R246" s="36">
        <f t="shared" si="5"/>
        <v>0.925252138</v>
      </c>
      <c r="S246" s="37"/>
      <c r="T246" s="5"/>
      <c r="U246" s="54">
        <f>5.05+3.18</f>
        <v>8.23</v>
      </c>
      <c r="V246" s="55">
        <f>653.36+0.02</f>
        <v>653.38</v>
      </c>
      <c r="W246" s="55">
        <f t="shared" si="62"/>
        <v>661.61</v>
      </c>
      <c r="X246" s="56">
        <v>0.08</v>
      </c>
      <c r="Y246" s="55">
        <f t="shared" si="63"/>
        <v>482.5929205</v>
      </c>
      <c r="Z246" s="55">
        <f t="shared" si="43"/>
        <v>482.5929205</v>
      </c>
      <c r="AA246" s="57">
        <f t="shared" si="44"/>
        <v>490.8229205</v>
      </c>
      <c r="AB246" s="5"/>
      <c r="AC246" s="42">
        <f t="shared" si="6"/>
        <v>1</v>
      </c>
      <c r="AD246" s="3">
        <f t="shared" si="7"/>
        <v>1</v>
      </c>
      <c r="AE246" s="3">
        <f t="shared" si="8"/>
        <v>1</v>
      </c>
      <c r="AF246" s="43">
        <f t="shared" si="9"/>
        <v>691.135</v>
      </c>
      <c r="AG246" s="44">
        <f t="shared" si="10"/>
        <v>12232.39</v>
      </c>
      <c r="AH246" s="45">
        <f t="shared" si="11"/>
        <v>0</v>
      </c>
      <c r="AI246" s="46">
        <f t="shared" si="12"/>
        <v>0.00264712655</v>
      </c>
      <c r="AJ246" s="47">
        <f t="shared" si="13"/>
        <v>0.0001978670501</v>
      </c>
      <c r="AK246" s="5"/>
      <c r="AL246" s="42">
        <f t="shared" si="14"/>
        <v>0</v>
      </c>
      <c r="AM246" s="3">
        <f t="shared" si="15"/>
        <v>1</v>
      </c>
      <c r="AN246" s="3">
        <f t="shared" si="16"/>
        <v>0</v>
      </c>
      <c r="AO246" s="3">
        <f t="shared" si="17"/>
        <v>0</v>
      </c>
      <c r="AP246" s="44">
        <f t="shared" si="18"/>
        <v>0</v>
      </c>
      <c r="AQ246" s="48">
        <f t="shared" si="19"/>
        <v>0</v>
      </c>
      <c r="AR246" s="46">
        <f t="shared" si="20"/>
        <v>0</v>
      </c>
      <c r="AS246" s="47">
        <f t="shared" si="21"/>
        <v>0</v>
      </c>
      <c r="AT246" s="5"/>
      <c r="AU246" s="49">
        <f t="shared" si="27"/>
        <v>12232.39</v>
      </c>
      <c r="AV246" s="50">
        <f t="shared" si="23"/>
        <v>1</v>
      </c>
      <c r="AW246" s="51">
        <f t="shared" si="24"/>
        <v>0.001186825453</v>
      </c>
      <c r="AX246" s="52">
        <f t="shared" si="25"/>
        <v>0.0000887126652</v>
      </c>
      <c r="AY246" s="5"/>
      <c r="AZ246" s="53">
        <f t="shared" si="26"/>
        <v>1</v>
      </c>
      <c r="BA246" s="5"/>
      <c r="BB246" s="5"/>
      <c r="BC246" s="5"/>
    </row>
    <row r="247" ht="12.75" customHeight="1">
      <c r="A247" s="25"/>
      <c r="B247" s="27" t="s">
        <v>452</v>
      </c>
      <c r="C247" s="27"/>
      <c r="D247" s="28">
        <v>14908.9</v>
      </c>
      <c r="E247" s="94" t="s">
        <v>49</v>
      </c>
      <c r="F247" s="30">
        <v>41456.0</v>
      </c>
      <c r="G247" s="30" t="s">
        <v>40</v>
      </c>
      <c r="H247" s="30">
        <v>41548.0</v>
      </c>
      <c r="I247" s="32">
        <f t="shared" si="1"/>
        <v>3.066666667</v>
      </c>
      <c r="J247" s="33" t="s">
        <v>453</v>
      </c>
      <c r="K247" s="34">
        <v>13000.0</v>
      </c>
      <c r="L247" s="115">
        <v>763.24</v>
      </c>
      <c r="M247" s="35">
        <v>1495.83</v>
      </c>
      <c r="N247" s="35">
        <v>221.18</v>
      </c>
      <c r="O247" s="35">
        <f t="shared" si="65"/>
        <v>1908.9</v>
      </c>
      <c r="P247" s="35">
        <f t="shared" si="3"/>
        <v>4389.15</v>
      </c>
      <c r="Q247" s="36">
        <f t="shared" si="4"/>
        <v>0.294397977</v>
      </c>
      <c r="R247" s="36">
        <f t="shared" si="5"/>
        <v>0.705602023</v>
      </c>
      <c r="S247" s="37"/>
      <c r="T247" s="5"/>
      <c r="U247" s="54">
        <v>193.43</v>
      </c>
      <c r="V247" s="55">
        <v>1418.79</v>
      </c>
      <c r="W247" s="55">
        <f t="shared" si="62"/>
        <v>1612.22</v>
      </c>
      <c r="X247" s="56">
        <v>0.0775</v>
      </c>
      <c r="Y247" s="55">
        <f t="shared" si="63"/>
        <v>569.8059041</v>
      </c>
      <c r="Z247" s="55">
        <f t="shared" si="43"/>
        <v>569.8059041</v>
      </c>
      <c r="AA247" s="57">
        <f t="shared" si="44"/>
        <v>763.2359041</v>
      </c>
      <c r="AB247" s="5"/>
      <c r="AC247" s="42">
        <f t="shared" si="6"/>
        <v>1</v>
      </c>
      <c r="AD247" s="3">
        <f t="shared" si="7"/>
        <v>1</v>
      </c>
      <c r="AE247" s="3">
        <f t="shared" si="8"/>
        <v>1</v>
      </c>
      <c r="AF247" s="43">
        <f t="shared" si="9"/>
        <v>1717.01</v>
      </c>
      <c r="AG247" s="44">
        <f t="shared" si="10"/>
        <v>14908.9</v>
      </c>
      <c r="AH247" s="45">
        <f t="shared" si="11"/>
        <v>3.066666667</v>
      </c>
      <c r="AI247" s="46">
        <f t="shared" si="12"/>
        <v>0.003226331487</v>
      </c>
      <c r="AJ247" s="47">
        <f t="shared" si="13"/>
        <v>0.0009498254631</v>
      </c>
      <c r="AK247" s="5"/>
      <c r="AL247" s="42">
        <f t="shared" si="14"/>
        <v>0</v>
      </c>
      <c r="AM247" s="3">
        <f t="shared" si="15"/>
        <v>1</v>
      </c>
      <c r="AN247" s="3">
        <f t="shared" si="16"/>
        <v>0</v>
      </c>
      <c r="AO247" s="3">
        <f t="shared" si="17"/>
        <v>0</v>
      </c>
      <c r="AP247" s="44">
        <f t="shared" si="18"/>
        <v>0</v>
      </c>
      <c r="AQ247" s="48">
        <f t="shared" si="19"/>
        <v>0</v>
      </c>
      <c r="AR247" s="46">
        <f t="shared" si="20"/>
        <v>0</v>
      </c>
      <c r="AS247" s="47">
        <f t="shared" si="21"/>
        <v>0</v>
      </c>
      <c r="AT247" s="5"/>
      <c r="AU247" s="49">
        <f t="shared" si="27"/>
        <v>14908.9</v>
      </c>
      <c r="AV247" s="50">
        <f t="shared" si="23"/>
        <v>1</v>
      </c>
      <c r="AW247" s="51">
        <f t="shared" si="24"/>
        <v>0.001446508981</v>
      </c>
      <c r="AX247" s="52">
        <f t="shared" si="25"/>
        <v>0.0004258493178</v>
      </c>
      <c r="AY247" s="5"/>
      <c r="AZ247" s="53">
        <f t="shared" si="26"/>
        <v>1</v>
      </c>
      <c r="BA247" s="5"/>
      <c r="BB247" s="5"/>
      <c r="BC247" s="5"/>
    </row>
    <row r="248" ht="12.75" customHeight="1">
      <c r="A248" s="25"/>
      <c r="B248" s="27" t="s">
        <v>454</v>
      </c>
      <c r="C248" s="27"/>
      <c r="D248" s="28">
        <v>23837.4</v>
      </c>
      <c r="E248" s="94" t="s">
        <v>49</v>
      </c>
      <c r="F248" s="30">
        <v>41456.0</v>
      </c>
      <c r="G248" s="30" t="s">
        <v>40</v>
      </c>
      <c r="H248" s="30">
        <v>41639.0</v>
      </c>
      <c r="I248" s="32">
        <f t="shared" si="1"/>
        <v>6.1</v>
      </c>
      <c r="J248" s="33" t="s">
        <v>455</v>
      </c>
      <c r="K248" s="34">
        <v>24000.0</v>
      </c>
      <c r="L248" s="115">
        <v>1145.17</v>
      </c>
      <c r="M248" s="35">
        <v>3538.6899999999996</v>
      </c>
      <c r="N248" s="35">
        <v>334.81</v>
      </c>
      <c r="O248" s="35">
        <f t="shared" si="65"/>
        <v>0</v>
      </c>
      <c r="P248" s="35">
        <f t="shared" si="3"/>
        <v>4856.07</v>
      </c>
      <c r="Q248" s="36">
        <f t="shared" si="4"/>
        <v>0.2037164288</v>
      </c>
      <c r="R248" s="36">
        <f t="shared" si="5"/>
        <v>0.7962835712</v>
      </c>
      <c r="S248" s="37"/>
      <c r="T248" s="5"/>
      <c r="U248" s="54">
        <v>234.12</v>
      </c>
      <c r="V248" s="55">
        <v>1510.79</v>
      </c>
      <c r="W248" s="55">
        <f t="shared" si="62"/>
        <v>1744.91</v>
      </c>
      <c r="X248" s="56">
        <v>0.0775</v>
      </c>
      <c r="Y248" s="55">
        <f t="shared" si="63"/>
        <v>911.0458356</v>
      </c>
      <c r="Z248" s="55">
        <f t="shared" si="43"/>
        <v>911.0458356</v>
      </c>
      <c r="AA248" s="57">
        <f t="shared" si="44"/>
        <v>1145.165836</v>
      </c>
      <c r="AB248" s="5"/>
      <c r="AC248" s="42">
        <f t="shared" si="6"/>
        <v>1</v>
      </c>
      <c r="AD248" s="3">
        <f t="shared" si="7"/>
        <v>1</v>
      </c>
      <c r="AE248" s="3">
        <f t="shared" si="8"/>
        <v>1</v>
      </c>
      <c r="AF248" s="43">
        <f t="shared" si="9"/>
        <v>3873.5</v>
      </c>
      <c r="AG248" s="44">
        <f t="shared" si="10"/>
        <v>23837.4</v>
      </c>
      <c r="AH248" s="45">
        <f t="shared" si="11"/>
        <v>6.1</v>
      </c>
      <c r="AI248" s="46">
        <f t="shared" si="12"/>
        <v>0.005158486152</v>
      </c>
      <c r="AJ248" s="47">
        <f t="shared" si="13"/>
        <v>0.001050868377</v>
      </c>
      <c r="AK248" s="5"/>
      <c r="AL248" s="42">
        <f t="shared" si="14"/>
        <v>0</v>
      </c>
      <c r="AM248" s="3">
        <f t="shared" si="15"/>
        <v>1</v>
      </c>
      <c r="AN248" s="3">
        <f t="shared" si="16"/>
        <v>0</v>
      </c>
      <c r="AO248" s="3">
        <f t="shared" si="17"/>
        <v>0</v>
      </c>
      <c r="AP248" s="44">
        <f t="shared" si="18"/>
        <v>0</v>
      </c>
      <c r="AQ248" s="48">
        <f t="shared" si="19"/>
        <v>0</v>
      </c>
      <c r="AR248" s="46">
        <f t="shared" si="20"/>
        <v>0</v>
      </c>
      <c r="AS248" s="47">
        <f t="shared" si="21"/>
        <v>0</v>
      </c>
      <c r="AT248" s="5"/>
      <c r="AU248" s="49">
        <f t="shared" si="27"/>
        <v>23837.4</v>
      </c>
      <c r="AV248" s="50">
        <f t="shared" si="23"/>
        <v>1</v>
      </c>
      <c r="AW248" s="51">
        <f t="shared" si="24"/>
        <v>0.002312780499</v>
      </c>
      <c r="AX248" s="52">
        <f t="shared" si="25"/>
        <v>0.0004711513839</v>
      </c>
      <c r="AY248" s="5"/>
      <c r="AZ248" s="53">
        <f t="shared" si="26"/>
        <v>1</v>
      </c>
      <c r="BA248" s="5"/>
      <c r="BB248" s="5"/>
      <c r="BC248" s="5"/>
    </row>
    <row r="249" ht="12.75" customHeight="1">
      <c r="A249" s="25"/>
      <c r="B249" s="27" t="s">
        <v>456</v>
      </c>
      <c r="C249" s="27"/>
      <c r="D249" s="28">
        <v>10686.76</v>
      </c>
      <c r="E249" s="94" t="s">
        <v>49</v>
      </c>
      <c r="F249" s="30">
        <v>41456.0</v>
      </c>
      <c r="G249" s="30" t="s">
        <v>40</v>
      </c>
      <c r="H249" s="30">
        <v>41639.0</v>
      </c>
      <c r="I249" s="32">
        <f t="shared" si="1"/>
        <v>6.1</v>
      </c>
      <c r="J249" s="33" t="s">
        <v>457</v>
      </c>
      <c r="K249" s="34">
        <v>13000.0</v>
      </c>
      <c r="L249" s="115">
        <v>872.98</v>
      </c>
      <c r="M249" s="35">
        <v>1680.4399999999998</v>
      </c>
      <c r="N249" s="35">
        <v>659.1100000000001</v>
      </c>
      <c r="O249" s="35">
        <f t="shared" si="65"/>
        <v>0</v>
      </c>
      <c r="P249" s="35">
        <f t="shared" si="3"/>
        <v>899.29</v>
      </c>
      <c r="Q249" s="36">
        <f t="shared" si="4"/>
        <v>0.08414992009</v>
      </c>
      <c r="R249" s="36">
        <f t="shared" si="5"/>
        <v>0.9158500799</v>
      </c>
      <c r="S249" s="37"/>
      <c r="T249" s="5"/>
      <c r="U249" s="54">
        <v>464.54</v>
      </c>
      <c r="V249" s="55">
        <v>1463.58</v>
      </c>
      <c r="W249" s="55">
        <f t="shared" si="62"/>
        <v>1928.12</v>
      </c>
      <c r="X249" s="56">
        <v>0.0775</v>
      </c>
      <c r="Y249" s="55">
        <f t="shared" si="63"/>
        <v>408.4391836</v>
      </c>
      <c r="Z249" s="55">
        <f t="shared" si="43"/>
        <v>408.4391836</v>
      </c>
      <c r="AA249" s="57">
        <f t="shared" si="44"/>
        <v>872.9791836</v>
      </c>
      <c r="AB249" s="5"/>
      <c r="AC249" s="42">
        <f t="shared" si="6"/>
        <v>1</v>
      </c>
      <c r="AD249" s="3">
        <f t="shared" si="7"/>
        <v>1</v>
      </c>
      <c r="AE249" s="3">
        <f t="shared" si="8"/>
        <v>1</v>
      </c>
      <c r="AF249" s="43">
        <f t="shared" si="9"/>
        <v>2339.55</v>
      </c>
      <c r="AG249" s="44">
        <f t="shared" si="10"/>
        <v>10686.76</v>
      </c>
      <c r="AH249" s="45">
        <f t="shared" si="11"/>
        <v>6.1</v>
      </c>
      <c r="AI249" s="46">
        <f t="shared" si="12"/>
        <v>0.002312647498</v>
      </c>
      <c r="AJ249" s="47">
        <f t="shared" si="13"/>
        <v>0.0001946091022</v>
      </c>
      <c r="AK249" s="5"/>
      <c r="AL249" s="42">
        <f t="shared" si="14"/>
        <v>0</v>
      </c>
      <c r="AM249" s="3">
        <f t="shared" si="15"/>
        <v>1</v>
      </c>
      <c r="AN249" s="3">
        <f t="shared" si="16"/>
        <v>0</v>
      </c>
      <c r="AO249" s="3">
        <f t="shared" si="17"/>
        <v>0</v>
      </c>
      <c r="AP249" s="44">
        <f t="shared" si="18"/>
        <v>0</v>
      </c>
      <c r="AQ249" s="48">
        <f t="shared" si="19"/>
        <v>0</v>
      </c>
      <c r="AR249" s="46">
        <f t="shared" si="20"/>
        <v>0</v>
      </c>
      <c r="AS249" s="47">
        <f t="shared" si="21"/>
        <v>0</v>
      </c>
      <c r="AT249" s="5"/>
      <c r="AU249" s="49">
        <f t="shared" si="27"/>
        <v>10686.76</v>
      </c>
      <c r="AV249" s="50">
        <f t="shared" si="23"/>
        <v>1</v>
      </c>
      <c r="AW249" s="51">
        <f t="shared" si="24"/>
        <v>0.001036863506</v>
      </c>
      <c r="AX249" s="52">
        <f t="shared" si="25"/>
        <v>0.00008725198113</v>
      </c>
      <c r="AY249" s="5"/>
      <c r="AZ249" s="53">
        <f t="shared" si="26"/>
        <v>1</v>
      </c>
      <c r="BA249" s="5"/>
      <c r="BB249" s="5"/>
      <c r="BC249" s="5"/>
    </row>
    <row r="250" ht="12.75" customHeight="1">
      <c r="A250" s="25"/>
      <c r="B250" s="27" t="s">
        <v>458</v>
      </c>
      <c r="C250" s="27"/>
      <c r="D250" s="28">
        <v>8997.24</v>
      </c>
      <c r="E250" s="29" t="s">
        <v>49</v>
      </c>
      <c r="F250" s="30">
        <v>41456.0</v>
      </c>
      <c r="G250" s="30" t="s">
        <v>40</v>
      </c>
      <c r="H250" s="30">
        <v>41973.0</v>
      </c>
      <c r="I250" s="32">
        <f t="shared" si="1"/>
        <v>17.23333333</v>
      </c>
      <c r="J250" s="33" t="s">
        <v>459</v>
      </c>
      <c r="K250" s="34">
        <v>12407.0</v>
      </c>
      <c r="L250" s="115">
        <v>460.63</v>
      </c>
      <c r="M250" s="35">
        <v>3959.88</v>
      </c>
      <c r="N250" s="35">
        <v>0.0</v>
      </c>
      <c r="O250" s="35">
        <f t="shared" si="65"/>
        <v>0</v>
      </c>
      <c r="P250" s="35">
        <f t="shared" si="3"/>
        <v>1010.75</v>
      </c>
      <c r="Q250" s="36">
        <f t="shared" si="4"/>
        <v>0.1123400065</v>
      </c>
      <c r="R250" s="36">
        <f t="shared" si="5"/>
        <v>0.8876599935</v>
      </c>
      <c r="S250" s="37"/>
      <c r="T250" s="5"/>
      <c r="U250" s="54">
        <v>116.76</v>
      </c>
      <c r="V250" s="55">
        <v>301.13</v>
      </c>
      <c r="W250" s="55">
        <f t="shared" si="62"/>
        <v>417.89</v>
      </c>
      <c r="X250" s="56">
        <v>0.0775</v>
      </c>
      <c r="Y250" s="55">
        <f t="shared" si="63"/>
        <v>343.8671178</v>
      </c>
      <c r="Z250" s="55">
        <f t="shared" si="43"/>
        <v>343.8671178</v>
      </c>
      <c r="AA250" s="57">
        <f t="shared" si="44"/>
        <v>460.6271178</v>
      </c>
      <c r="AB250" s="5"/>
      <c r="AC250" s="42">
        <f t="shared" si="6"/>
        <v>1</v>
      </c>
      <c r="AD250" s="3">
        <f t="shared" si="7"/>
        <v>1</v>
      </c>
      <c r="AE250" s="3">
        <f t="shared" si="8"/>
        <v>1</v>
      </c>
      <c r="AF250" s="43">
        <f t="shared" si="9"/>
        <v>3959.88</v>
      </c>
      <c r="AG250" s="44">
        <f t="shared" si="10"/>
        <v>8997.24</v>
      </c>
      <c r="AH250" s="45">
        <f t="shared" si="11"/>
        <v>17.23333333</v>
      </c>
      <c r="AI250" s="46">
        <f t="shared" si="12"/>
        <v>0.001947030211</v>
      </c>
      <c r="AJ250" s="47">
        <f t="shared" si="13"/>
        <v>0.0002187293865</v>
      </c>
      <c r="AK250" s="5"/>
      <c r="AL250" s="42">
        <f t="shared" si="14"/>
        <v>0</v>
      </c>
      <c r="AM250" s="3">
        <f t="shared" si="15"/>
        <v>1</v>
      </c>
      <c r="AN250" s="3">
        <f t="shared" si="16"/>
        <v>0</v>
      </c>
      <c r="AO250" s="3">
        <f t="shared" si="17"/>
        <v>0</v>
      </c>
      <c r="AP250" s="44">
        <f t="shared" si="18"/>
        <v>0</v>
      </c>
      <c r="AQ250" s="48">
        <f t="shared" si="19"/>
        <v>0</v>
      </c>
      <c r="AR250" s="46">
        <f t="shared" si="20"/>
        <v>0</v>
      </c>
      <c r="AS250" s="47">
        <f t="shared" si="21"/>
        <v>0</v>
      </c>
      <c r="AT250" s="5"/>
      <c r="AU250" s="49">
        <f t="shared" si="27"/>
        <v>8997.24</v>
      </c>
      <c r="AV250" s="50">
        <f t="shared" si="23"/>
        <v>1</v>
      </c>
      <c r="AW250" s="51">
        <f t="shared" si="24"/>
        <v>0.000872940892</v>
      </c>
      <c r="AX250" s="52">
        <f t="shared" si="25"/>
        <v>0.00009806618547</v>
      </c>
      <c r="AY250" s="5"/>
      <c r="AZ250" s="53">
        <f t="shared" si="26"/>
        <v>1</v>
      </c>
      <c r="BA250" s="5"/>
      <c r="BB250" s="5"/>
      <c r="BC250" s="5"/>
    </row>
    <row r="251" ht="12.75" customHeight="1">
      <c r="A251" s="25"/>
      <c r="B251" s="27" t="s">
        <v>460</v>
      </c>
      <c r="C251" s="27"/>
      <c r="D251" s="28">
        <v>15356.82</v>
      </c>
      <c r="E251" s="29" t="s">
        <v>39</v>
      </c>
      <c r="F251" s="30">
        <v>41487.0</v>
      </c>
      <c r="G251" s="30" t="s">
        <v>40</v>
      </c>
      <c r="H251" s="30">
        <v>41518.0</v>
      </c>
      <c r="I251" s="32">
        <f t="shared" si="1"/>
        <v>1.033333333</v>
      </c>
      <c r="J251" s="33" t="s">
        <v>461</v>
      </c>
      <c r="K251" s="34">
        <v>16000.0</v>
      </c>
      <c r="L251" s="115">
        <v>829.31</v>
      </c>
      <c r="M251" s="35">
        <v>388.36</v>
      </c>
      <c r="N251" s="35">
        <v>371.42</v>
      </c>
      <c r="O251" s="35">
        <f t="shared" si="65"/>
        <v>0</v>
      </c>
      <c r="P251" s="35">
        <f t="shared" si="3"/>
        <v>945.91</v>
      </c>
      <c r="Q251" s="36">
        <f t="shared" si="4"/>
        <v>0.06159543447</v>
      </c>
      <c r="R251" s="36">
        <f t="shared" si="5"/>
        <v>0.9384045655</v>
      </c>
      <c r="S251" s="37"/>
      <c r="T251" s="5"/>
      <c r="U251" s="54">
        <f>11+132.23+48.09+10.4+2.8</f>
        <v>204.52</v>
      </c>
      <c r="V251" s="55">
        <v>1915.93</v>
      </c>
      <c r="W251" s="55">
        <f t="shared" si="62"/>
        <v>2120.45</v>
      </c>
      <c r="X251" s="56">
        <v>0.0825</v>
      </c>
      <c r="Y251" s="55">
        <f t="shared" si="63"/>
        <v>624.7911699</v>
      </c>
      <c r="Z251" s="55">
        <f t="shared" si="43"/>
        <v>624.7911699</v>
      </c>
      <c r="AA251" s="57">
        <f t="shared" si="44"/>
        <v>829.3111699</v>
      </c>
      <c r="AB251" s="5"/>
      <c r="AC251" s="42">
        <f t="shared" si="6"/>
        <v>0</v>
      </c>
      <c r="AD251" s="3">
        <f t="shared" si="7"/>
        <v>1</v>
      </c>
      <c r="AE251" s="3">
        <f t="shared" si="8"/>
        <v>0</v>
      </c>
      <c r="AF251" s="43">
        <f t="shared" si="9"/>
        <v>0</v>
      </c>
      <c r="AG251" s="44">
        <f t="shared" si="10"/>
        <v>0</v>
      </c>
      <c r="AH251" s="45">
        <f t="shared" si="11"/>
        <v>0</v>
      </c>
      <c r="AI251" s="46">
        <f t="shared" si="12"/>
        <v>0</v>
      </c>
      <c r="AJ251" s="47">
        <f t="shared" si="13"/>
        <v>0</v>
      </c>
      <c r="AK251" s="5"/>
      <c r="AL251" s="42">
        <f t="shared" si="14"/>
        <v>1</v>
      </c>
      <c r="AM251" s="3">
        <f t="shared" si="15"/>
        <v>1</v>
      </c>
      <c r="AN251" s="3">
        <f t="shared" si="16"/>
        <v>1</v>
      </c>
      <c r="AO251" s="3">
        <f t="shared" si="17"/>
        <v>759.78</v>
      </c>
      <c r="AP251" s="44">
        <f t="shared" si="18"/>
        <v>15356.82</v>
      </c>
      <c r="AQ251" s="48">
        <f t="shared" si="19"/>
        <v>1.033333333</v>
      </c>
      <c r="AR251" s="46">
        <f t="shared" si="20"/>
        <v>0.002693919272</v>
      </c>
      <c r="AS251" s="47">
        <f t="shared" si="21"/>
        <v>0.000165933128</v>
      </c>
      <c r="AT251" s="5"/>
      <c r="AU251" s="49">
        <f t="shared" si="27"/>
        <v>15356.82</v>
      </c>
      <c r="AV251" s="50">
        <f t="shared" si="23"/>
        <v>1</v>
      </c>
      <c r="AW251" s="51">
        <f t="shared" si="24"/>
        <v>0.001489967607</v>
      </c>
      <c r="AX251" s="52">
        <f t="shared" si="25"/>
        <v>0.00009177520207</v>
      </c>
      <c r="AY251" s="5"/>
      <c r="AZ251" s="53">
        <f t="shared" si="26"/>
        <v>1</v>
      </c>
      <c r="BA251" s="5"/>
      <c r="BB251" s="5"/>
      <c r="BC251" s="5"/>
    </row>
    <row r="252" ht="12.75" customHeight="1">
      <c r="A252" s="25"/>
      <c r="B252" s="27" t="s">
        <v>462</v>
      </c>
      <c r="C252" s="27"/>
      <c r="D252" s="28">
        <v>20127.71</v>
      </c>
      <c r="E252" s="29" t="s">
        <v>39</v>
      </c>
      <c r="F252" s="30">
        <v>41487.0</v>
      </c>
      <c r="G252" s="30" t="s">
        <v>40</v>
      </c>
      <c r="H252" s="30">
        <v>41518.0</v>
      </c>
      <c r="I252" s="32">
        <f t="shared" si="1"/>
        <v>1.033333333</v>
      </c>
      <c r="J252" s="33" t="s">
        <v>463</v>
      </c>
      <c r="K252" s="34">
        <v>25000.0</v>
      </c>
      <c r="L252" s="115">
        <v>1018.12</v>
      </c>
      <c r="M252" s="35">
        <v>2814.24</v>
      </c>
      <c r="N252" s="35">
        <v>253.66</v>
      </c>
      <c r="O252" s="35">
        <f t="shared" si="65"/>
        <v>0</v>
      </c>
      <c r="P252" s="35">
        <f t="shared" si="3"/>
        <v>0</v>
      </c>
      <c r="Q252" s="36">
        <f t="shared" si="4"/>
        <v>0</v>
      </c>
      <c r="R252" s="36">
        <f t="shared" si="5"/>
        <v>1</v>
      </c>
      <c r="S252" s="37"/>
      <c r="T252" s="5"/>
      <c r="U252" s="54">
        <v>224.04</v>
      </c>
      <c r="V252" s="55">
        <v>1701.77</v>
      </c>
      <c r="W252" s="55">
        <f t="shared" si="62"/>
        <v>1925.81</v>
      </c>
      <c r="X252" s="56">
        <v>0.08</v>
      </c>
      <c r="Y252" s="55">
        <f t="shared" si="63"/>
        <v>794.0795178</v>
      </c>
      <c r="Z252" s="55">
        <f t="shared" si="43"/>
        <v>794.0795178</v>
      </c>
      <c r="AA252" s="57">
        <f t="shared" si="44"/>
        <v>1018.119518</v>
      </c>
      <c r="AB252" s="5"/>
      <c r="AC252" s="42">
        <f t="shared" si="6"/>
        <v>0</v>
      </c>
      <c r="AD252" s="3">
        <f t="shared" si="7"/>
        <v>1</v>
      </c>
      <c r="AE252" s="3">
        <f t="shared" si="8"/>
        <v>0</v>
      </c>
      <c r="AF252" s="43">
        <f t="shared" si="9"/>
        <v>0</v>
      </c>
      <c r="AG252" s="44">
        <f t="shared" si="10"/>
        <v>0</v>
      </c>
      <c r="AH252" s="45">
        <f t="shared" si="11"/>
        <v>0</v>
      </c>
      <c r="AI252" s="46">
        <f t="shared" si="12"/>
        <v>0</v>
      </c>
      <c r="AJ252" s="47">
        <f t="shared" si="13"/>
        <v>0</v>
      </c>
      <c r="AK252" s="5"/>
      <c r="AL252" s="42">
        <f t="shared" si="14"/>
        <v>1</v>
      </c>
      <c r="AM252" s="3">
        <f t="shared" si="15"/>
        <v>1</v>
      </c>
      <c r="AN252" s="3">
        <f t="shared" si="16"/>
        <v>1</v>
      </c>
      <c r="AO252" s="3">
        <f t="shared" si="17"/>
        <v>3067.9</v>
      </c>
      <c r="AP252" s="44">
        <f t="shared" si="18"/>
        <v>20127.71</v>
      </c>
      <c r="AQ252" s="48">
        <f t="shared" si="19"/>
        <v>1.033333333</v>
      </c>
      <c r="AR252" s="46">
        <f t="shared" si="20"/>
        <v>0.003530836845</v>
      </c>
      <c r="AS252" s="47">
        <f t="shared" si="21"/>
        <v>0</v>
      </c>
      <c r="AT252" s="5"/>
      <c r="AU252" s="49">
        <f t="shared" si="27"/>
        <v>20127.71</v>
      </c>
      <c r="AV252" s="50">
        <f t="shared" si="23"/>
        <v>1</v>
      </c>
      <c r="AW252" s="51">
        <f t="shared" si="24"/>
        <v>0.001952854555</v>
      </c>
      <c r="AX252" s="52">
        <f t="shared" si="25"/>
        <v>0</v>
      </c>
      <c r="AY252" s="5"/>
      <c r="AZ252" s="53">
        <f t="shared" si="26"/>
        <v>1</v>
      </c>
      <c r="BA252" s="5"/>
      <c r="BB252" s="5"/>
      <c r="BC252" s="5"/>
    </row>
    <row r="253" ht="12.75" customHeight="1">
      <c r="A253" s="25"/>
      <c r="B253" s="27" t="s">
        <v>464</v>
      </c>
      <c r="C253" s="27"/>
      <c r="D253" s="28">
        <v>14325.68</v>
      </c>
      <c r="E253" s="29" t="s">
        <v>39</v>
      </c>
      <c r="F253" s="30">
        <v>41487.0</v>
      </c>
      <c r="G253" s="30" t="s">
        <v>40</v>
      </c>
      <c r="H253" s="30">
        <v>41548.0</v>
      </c>
      <c r="I253" s="32">
        <f t="shared" si="1"/>
        <v>2.033333333</v>
      </c>
      <c r="J253" s="33" t="s">
        <v>465</v>
      </c>
      <c r="K253" s="34">
        <v>16000.0</v>
      </c>
      <c r="L253" s="115">
        <v>779.89</v>
      </c>
      <c r="M253" s="35">
        <v>848.68</v>
      </c>
      <c r="N253" s="35">
        <v>171.19</v>
      </c>
      <c r="O253" s="35">
        <f t="shared" si="65"/>
        <v>0</v>
      </c>
      <c r="P253" s="35">
        <f t="shared" si="3"/>
        <v>125.44</v>
      </c>
      <c r="Q253" s="36">
        <f t="shared" si="4"/>
        <v>0.008756303366</v>
      </c>
      <c r="R253" s="36">
        <f t="shared" si="5"/>
        <v>0.9912436966</v>
      </c>
      <c r="S253" s="37"/>
      <c r="T253" s="5"/>
      <c r="U253" s="54">
        <v>134.17</v>
      </c>
      <c r="V253" s="55">
        <v>880.89</v>
      </c>
      <c r="W253" s="55">
        <f t="shared" si="62"/>
        <v>1015.06</v>
      </c>
      <c r="X253" s="56">
        <v>0.0914</v>
      </c>
      <c r="Y253" s="55">
        <f t="shared" si="63"/>
        <v>645.7153078</v>
      </c>
      <c r="Z253" s="55">
        <f t="shared" si="43"/>
        <v>645.7153078</v>
      </c>
      <c r="AA253" s="57">
        <f t="shared" si="44"/>
        <v>779.8853078</v>
      </c>
      <c r="AB253" s="5"/>
      <c r="AC253" s="42">
        <f t="shared" si="6"/>
        <v>0</v>
      </c>
      <c r="AD253" s="3">
        <f t="shared" si="7"/>
        <v>1</v>
      </c>
      <c r="AE253" s="3">
        <f t="shared" si="8"/>
        <v>0</v>
      </c>
      <c r="AF253" s="43">
        <f t="shared" si="9"/>
        <v>0</v>
      </c>
      <c r="AG253" s="44">
        <f t="shared" si="10"/>
        <v>0</v>
      </c>
      <c r="AH253" s="45">
        <f t="shared" si="11"/>
        <v>0</v>
      </c>
      <c r="AI253" s="46">
        <f t="shared" si="12"/>
        <v>0</v>
      </c>
      <c r="AJ253" s="47">
        <f t="shared" si="13"/>
        <v>0</v>
      </c>
      <c r="AK253" s="5"/>
      <c r="AL253" s="42">
        <f t="shared" si="14"/>
        <v>1</v>
      </c>
      <c r="AM253" s="3">
        <f t="shared" si="15"/>
        <v>1</v>
      </c>
      <c r="AN253" s="3">
        <f t="shared" si="16"/>
        <v>1</v>
      </c>
      <c r="AO253" s="3">
        <f t="shared" si="17"/>
        <v>1019.87</v>
      </c>
      <c r="AP253" s="44">
        <f t="shared" si="18"/>
        <v>14325.68</v>
      </c>
      <c r="AQ253" s="48">
        <f t="shared" si="19"/>
        <v>2.033333333</v>
      </c>
      <c r="AR253" s="46">
        <f t="shared" si="20"/>
        <v>0.002513034954</v>
      </c>
      <c r="AS253" s="47">
        <f t="shared" si="21"/>
        <v>0.00002200489643</v>
      </c>
      <c r="AT253" s="5"/>
      <c r="AU253" s="49">
        <f t="shared" si="27"/>
        <v>14325.68</v>
      </c>
      <c r="AV253" s="50">
        <f t="shared" si="23"/>
        <v>1</v>
      </c>
      <c r="AW253" s="51">
        <f t="shared" si="24"/>
        <v>0.001389923118</v>
      </c>
      <c r="AX253" s="52">
        <f t="shared" si="25"/>
        <v>0.00001217058848</v>
      </c>
      <c r="AY253" s="5"/>
      <c r="AZ253" s="53">
        <f t="shared" si="26"/>
        <v>1</v>
      </c>
      <c r="BA253" s="5"/>
      <c r="BB253" s="5"/>
      <c r="BC253" s="5"/>
    </row>
    <row r="254" ht="12.75" customHeight="1">
      <c r="A254" s="25"/>
      <c r="B254" s="27" t="s">
        <v>466</v>
      </c>
      <c r="C254" s="27"/>
      <c r="D254" s="28">
        <v>24002.81</v>
      </c>
      <c r="E254" s="29" t="s">
        <v>39</v>
      </c>
      <c r="F254" s="30">
        <v>41487.0</v>
      </c>
      <c r="G254" s="30" t="s">
        <v>40</v>
      </c>
      <c r="H254" s="30">
        <v>41548.0</v>
      </c>
      <c r="I254" s="32">
        <f t="shared" si="1"/>
        <v>2.033333333</v>
      </c>
      <c r="J254" s="33" t="s">
        <v>467</v>
      </c>
      <c r="K254" s="34">
        <v>26000.0</v>
      </c>
      <c r="L254" s="115">
        <v>1220.12</v>
      </c>
      <c r="M254" s="35">
        <v>2716.05</v>
      </c>
      <c r="N254" s="35">
        <v>21.0</v>
      </c>
      <c r="O254" s="35">
        <f t="shared" si="65"/>
        <v>0</v>
      </c>
      <c r="P254" s="35">
        <f t="shared" si="3"/>
        <v>1959.98</v>
      </c>
      <c r="Q254" s="36">
        <f t="shared" si="4"/>
        <v>0.08165627274</v>
      </c>
      <c r="R254" s="36">
        <f t="shared" si="5"/>
        <v>0.9183437273</v>
      </c>
      <c r="S254" s="37"/>
      <c r="T254" s="5"/>
      <c r="U254" s="54">
        <v>186.75</v>
      </c>
      <c r="V254" s="55">
        <v>1563.71</v>
      </c>
      <c r="W254" s="55">
        <f t="shared" si="62"/>
        <v>1750.46</v>
      </c>
      <c r="X254" s="56">
        <v>0.0873</v>
      </c>
      <c r="Y254" s="55">
        <f t="shared" si="63"/>
        <v>1033.370291</v>
      </c>
      <c r="Z254" s="55">
        <f t="shared" si="43"/>
        <v>1033.370291</v>
      </c>
      <c r="AA254" s="57">
        <f t="shared" si="44"/>
        <v>1220.120291</v>
      </c>
      <c r="AB254" s="5"/>
      <c r="AC254" s="42">
        <f t="shared" si="6"/>
        <v>0</v>
      </c>
      <c r="AD254" s="3">
        <f t="shared" si="7"/>
        <v>1</v>
      </c>
      <c r="AE254" s="3">
        <f t="shared" si="8"/>
        <v>0</v>
      </c>
      <c r="AF254" s="43">
        <f t="shared" si="9"/>
        <v>0</v>
      </c>
      <c r="AG254" s="44">
        <f t="shared" si="10"/>
        <v>0</v>
      </c>
      <c r="AH254" s="45">
        <f t="shared" si="11"/>
        <v>0</v>
      </c>
      <c r="AI254" s="46">
        <f t="shared" si="12"/>
        <v>0</v>
      </c>
      <c r="AJ254" s="47">
        <f t="shared" si="13"/>
        <v>0</v>
      </c>
      <c r="AK254" s="5"/>
      <c r="AL254" s="42">
        <f t="shared" si="14"/>
        <v>1</v>
      </c>
      <c r="AM254" s="3">
        <f t="shared" si="15"/>
        <v>1</v>
      </c>
      <c r="AN254" s="3">
        <f t="shared" si="16"/>
        <v>1</v>
      </c>
      <c r="AO254" s="3">
        <f t="shared" si="17"/>
        <v>2737.05</v>
      </c>
      <c r="AP254" s="44">
        <f t="shared" si="18"/>
        <v>24002.81</v>
      </c>
      <c r="AQ254" s="48">
        <f t="shared" si="19"/>
        <v>2.033333333</v>
      </c>
      <c r="AR254" s="46">
        <f t="shared" si="20"/>
        <v>0.004210613425</v>
      </c>
      <c r="AS254" s="47">
        <f t="shared" si="21"/>
        <v>0.0003438229982</v>
      </c>
      <c r="AT254" s="5"/>
      <c r="AU254" s="49">
        <f t="shared" si="27"/>
        <v>24002.81</v>
      </c>
      <c r="AV254" s="50">
        <f t="shared" si="23"/>
        <v>1</v>
      </c>
      <c r="AW254" s="51">
        <f t="shared" si="24"/>
        <v>0.002328829104</v>
      </c>
      <c r="AX254" s="52">
        <f t="shared" si="25"/>
        <v>0.0001901635045</v>
      </c>
      <c r="AY254" s="5"/>
      <c r="AZ254" s="53">
        <f t="shared" si="26"/>
        <v>1</v>
      </c>
      <c r="BA254" s="5"/>
      <c r="BB254" s="5"/>
      <c r="BC254" s="5"/>
    </row>
    <row r="255" ht="12.75" customHeight="1">
      <c r="A255" s="25"/>
      <c r="B255" s="27" t="s">
        <v>468</v>
      </c>
      <c r="C255" s="27"/>
      <c r="D255" s="28">
        <v>14783.2</v>
      </c>
      <c r="E255" s="29" t="s">
        <v>39</v>
      </c>
      <c r="F255" s="30">
        <v>41487.0</v>
      </c>
      <c r="G255" s="30" t="s">
        <v>40</v>
      </c>
      <c r="H255" s="30">
        <v>41698.0</v>
      </c>
      <c r="I255" s="32">
        <f t="shared" si="1"/>
        <v>7.033333333</v>
      </c>
      <c r="J255" s="33" t="s">
        <v>469</v>
      </c>
      <c r="K255" s="34">
        <v>10000.0</v>
      </c>
      <c r="L255" s="115">
        <v>884.29</v>
      </c>
      <c r="M255" s="35">
        <v>1583.32</v>
      </c>
      <c r="N255" s="35">
        <v>288.39</v>
      </c>
      <c r="O255" s="35">
        <f t="shared" si="65"/>
        <v>4783.2</v>
      </c>
      <c r="P255" s="35">
        <f t="shared" si="3"/>
        <v>7539.2</v>
      </c>
      <c r="Q255" s="36">
        <f t="shared" si="4"/>
        <v>0.5099843065</v>
      </c>
      <c r="R255" s="36">
        <f t="shared" si="5"/>
        <v>0.4900156935</v>
      </c>
      <c r="S255" s="37"/>
      <c r="T255" s="5"/>
      <c r="U255" s="54">
        <v>319.29</v>
      </c>
      <c r="V255" s="55">
        <v>1745.54</v>
      </c>
      <c r="W255" s="55">
        <f t="shared" si="62"/>
        <v>2064.83</v>
      </c>
      <c r="X255" s="56">
        <v>0.0775</v>
      </c>
      <c r="Y255" s="55">
        <f t="shared" si="63"/>
        <v>565.0017534</v>
      </c>
      <c r="Z255" s="55">
        <f t="shared" si="43"/>
        <v>565.0017534</v>
      </c>
      <c r="AA255" s="57">
        <f t="shared" si="44"/>
        <v>884.2917534</v>
      </c>
      <c r="AB255" s="5"/>
      <c r="AC255" s="42">
        <f t="shared" si="6"/>
        <v>0</v>
      </c>
      <c r="AD255" s="3">
        <f t="shared" si="7"/>
        <v>1</v>
      </c>
      <c r="AE255" s="3">
        <f t="shared" si="8"/>
        <v>0</v>
      </c>
      <c r="AF255" s="43">
        <f t="shared" si="9"/>
        <v>0</v>
      </c>
      <c r="AG255" s="44">
        <f t="shared" si="10"/>
        <v>0</v>
      </c>
      <c r="AH255" s="45">
        <f t="shared" si="11"/>
        <v>0</v>
      </c>
      <c r="AI255" s="46">
        <f t="shared" si="12"/>
        <v>0</v>
      </c>
      <c r="AJ255" s="47">
        <f t="shared" si="13"/>
        <v>0</v>
      </c>
      <c r="AK255" s="5"/>
      <c r="AL255" s="42">
        <f t="shared" si="14"/>
        <v>1</v>
      </c>
      <c r="AM255" s="3">
        <f t="shared" si="15"/>
        <v>1</v>
      </c>
      <c r="AN255" s="3">
        <f t="shared" si="16"/>
        <v>1</v>
      </c>
      <c r="AO255" s="3">
        <f t="shared" si="17"/>
        <v>1871.71</v>
      </c>
      <c r="AP255" s="44">
        <f t="shared" si="18"/>
        <v>14783.2</v>
      </c>
      <c r="AQ255" s="48">
        <f t="shared" si="19"/>
        <v>7.033333333</v>
      </c>
      <c r="AR255" s="46">
        <f t="shared" si="20"/>
        <v>0.002593293884</v>
      </c>
      <c r="AS255" s="47">
        <f t="shared" si="21"/>
        <v>0.001322539183</v>
      </c>
      <c r="AT255" s="5"/>
      <c r="AU255" s="49">
        <f t="shared" si="27"/>
        <v>14783.2</v>
      </c>
      <c r="AV255" s="50">
        <f t="shared" si="23"/>
        <v>1</v>
      </c>
      <c r="AW255" s="51">
        <f t="shared" si="24"/>
        <v>0.001434313166</v>
      </c>
      <c r="AX255" s="52">
        <f t="shared" si="25"/>
        <v>0.0007314772055</v>
      </c>
      <c r="AY255" s="5"/>
      <c r="AZ255" s="53">
        <f t="shared" si="26"/>
        <v>1</v>
      </c>
      <c r="BA255" s="5"/>
      <c r="BB255" s="5"/>
      <c r="BC255" s="5"/>
    </row>
    <row r="256" ht="12.75" customHeight="1">
      <c r="A256" s="25"/>
      <c r="B256" s="27" t="s">
        <v>470</v>
      </c>
      <c r="C256" s="27"/>
      <c r="D256" s="28">
        <v>65812.59</v>
      </c>
      <c r="E256" s="29" t="s">
        <v>39</v>
      </c>
      <c r="F256" s="30">
        <v>41518.0</v>
      </c>
      <c r="G256" s="30" t="s">
        <v>40</v>
      </c>
      <c r="H256" s="30">
        <v>41579.0</v>
      </c>
      <c r="I256" s="32">
        <f t="shared" si="1"/>
        <v>2.033333333</v>
      </c>
      <c r="J256" s="33" t="s">
        <v>471</v>
      </c>
      <c r="K256" s="34">
        <v>70000.0</v>
      </c>
      <c r="L256" s="115">
        <v>2983.93</v>
      </c>
      <c r="M256" s="35">
        <v>2877.86</v>
      </c>
      <c r="N256" s="35">
        <v>19.0</v>
      </c>
      <c r="O256" s="35">
        <f t="shared" si="65"/>
        <v>0</v>
      </c>
      <c r="P256" s="35">
        <f t="shared" si="3"/>
        <v>1693.38</v>
      </c>
      <c r="Q256" s="36">
        <f t="shared" si="4"/>
        <v>0.02573033518</v>
      </c>
      <c r="R256" s="36">
        <f t="shared" si="5"/>
        <v>0.9742696648</v>
      </c>
      <c r="S256" s="37"/>
      <c r="T256" s="5"/>
      <c r="U256" s="54">
        <v>559.5</v>
      </c>
      <c r="V256" s="55">
        <v>3968.95</v>
      </c>
      <c r="W256" s="55">
        <f t="shared" si="62"/>
        <v>4528.45</v>
      </c>
      <c r="X256" s="56">
        <v>0.0747</v>
      </c>
      <c r="Y256" s="55">
        <f t="shared" si="63"/>
        <v>2424.427631</v>
      </c>
      <c r="Z256" s="55">
        <f t="shared" si="43"/>
        <v>2424.427631</v>
      </c>
      <c r="AA256" s="57">
        <f t="shared" si="44"/>
        <v>2983.927631</v>
      </c>
      <c r="AB256" s="5"/>
      <c r="AC256" s="42">
        <f t="shared" si="6"/>
        <v>0</v>
      </c>
      <c r="AD256" s="3">
        <f t="shared" si="7"/>
        <v>1</v>
      </c>
      <c r="AE256" s="3">
        <f t="shared" si="8"/>
        <v>0</v>
      </c>
      <c r="AF256" s="43">
        <f t="shared" si="9"/>
        <v>0</v>
      </c>
      <c r="AG256" s="44">
        <f t="shared" si="10"/>
        <v>0</v>
      </c>
      <c r="AH256" s="45">
        <f t="shared" si="11"/>
        <v>0</v>
      </c>
      <c r="AI256" s="46">
        <f t="shared" si="12"/>
        <v>0</v>
      </c>
      <c r="AJ256" s="47">
        <f t="shared" si="13"/>
        <v>0</v>
      </c>
      <c r="AK256" s="5"/>
      <c r="AL256" s="42">
        <f t="shared" si="14"/>
        <v>1</v>
      </c>
      <c r="AM256" s="3">
        <f t="shared" si="15"/>
        <v>1</v>
      </c>
      <c r="AN256" s="3">
        <f t="shared" si="16"/>
        <v>1</v>
      </c>
      <c r="AO256" s="3">
        <f t="shared" si="17"/>
        <v>2896.86</v>
      </c>
      <c r="AP256" s="44">
        <f t="shared" si="18"/>
        <v>65812.59</v>
      </c>
      <c r="AQ256" s="48">
        <f t="shared" si="19"/>
        <v>2.033333333</v>
      </c>
      <c r="AR256" s="46">
        <f t="shared" si="20"/>
        <v>0.01154495557</v>
      </c>
      <c r="AS256" s="47">
        <f t="shared" si="21"/>
        <v>0.0002970555765</v>
      </c>
      <c r="AT256" s="5"/>
      <c r="AU256" s="49">
        <f t="shared" si="27"/>
        <v>65812.59</v>
      </c>
      <c r="AV256" s="50">
        <f t="shared" si="23"/>
        <v>1</v>
      </c>
      <c r="AW256" s="51">
        <f t="shared" si="24"/>
        <v>0.006385347175</v>
      </c>
      <c r="AX256" s="52">
        <f t="shared" si="25"/>
        <v>0.0001642971231</v>
      </c>
      <c r="AY256" s="5"/>
      <c r="AZ256" s="53">
        <f t="shared" si="26"/>
        <v>1</v>
      </c>
      <c r="BA256" s="5"/>
      <c r="BB256" s="5"/>
      <c r="BC256" s="5"/>
    </row>
    <row r="257" ht="12.75" customHeight="1">
      <c r="A257" s="25"/>
      <c r="B257" s="27" t="s">
        <v>472</v>
      </c>
      <c r="C257" s="27"/>
      <c r="D257" s="28">
        <v>21525.74</v>
      </c>
      <c r="E257" s="29" t="s">
        <v>39</v>
      </c>
      <c r="F257" s="30">
        <v>41548.0</v>
      </c>
      <c r="G257" s="30" t="s">
        <v>40</v>
      </c>
      <c r="H257" s="30">
        <v>41698.0</v>
      </c>
      <c r="I257" s="32">
        <f t="shared" si="1"/>
        <v>5</v>
      </c>
      <c r="J257" s="33" t="s">
        <v>473</v>
      </c>
      <c r="K257" s="34">
        <v>22000.0</v>
      </c>
      <c r="L257" s="115">
        <v>1567.29</v>
      </c>
      <c r="M257" s="35">
        <v>2204.02</v>
      </c>
      <c r="N257" s="35">
        <v>37.12</v>
      </c>
      <c r="O257" s="35">
        <f t="shared" si="65"/>
        <v>0</v>
      </c>
      <c r="P257" s="35">
        <f t="shared" si="3"/>
        <v>3334.17</v>
      </c>
      <c r="Q257" s="36">
        <f t="shared" si="4"/>
        <v>0.154892236</v>
      </c>
      <c r="R257" s="36">
        <f t="shared" si="5"/>
        <v>0.845107764</v>
      </c>
      <c r="S257" s="37"/>
      <c r="T257" s="5"/>
      <c r="U257" s="54">
        <v>744.59</v>
      </c>
      <c r="V257" s="55">
        <v>3135.31</v>
      </c>
      <c r="W257" s="55">
        <f t="shared" si="62"/>
        <v>3879.9</v>
      </c>
      <c r="X257" s="56">
        <v>0.0775</v>
      </c>
      <c r="Y257" s="55">
        <f t="shared" si="63"/>
        <v>822.6960904</v>
      </c>
      <c r="Z257" s="55">
        <f t="shared" si="43"/>
        <v>822.6960904</v>
      </c>
      <c r="AA257" s="57">
        <f t="shared" si="44"/>
        <v>1567.28609</v>
      </c>
      <c r="AB257" s="5"/>
      <c r="AC257" s="42">
        <f t="shared" si="6"/>
        <v>0</v>
      </c>
      <c r="AD257" s="3">
        <f t="shared" si="7"/>
        <v>1</v>
      </c>
      <c r="AE257" s="3">
        <f t="shared" si="8"/>
        <v>0</v>
      </c>
      <c r="AF257" s="43">
        <f t="shared" si="9"/>
        <v>0</v>
      </c>
      <c r="AG257" s="44">
        <f t="shared" si="10"/>
        <v>0</v>
      </c>
      <c r="AH257" s="45">
        <f t="shared" si="11"/>
        <v>0</v>
      </c>
      <c r="AI257" s="46">
        <f t="shared" si="12"/>
        <v>0</v>
      </c>
      <c r="AJ257" s="47">
        <f t="shared" si="13"/>
        <v>0</v>
      </c>
      <c r="AK257" s="5"/>
      <c r="AL257" s="42">
        <f t="shared" si="14"/>
        <v>1</v>
      </c>
      <c r="AM257" s="3">
        <f t="shared" si="15"/>
        <v>1</v>
      </c>
      <c r="AN257" s="3">
        <f t="shared" si="16"/>
        <v>1</v>
      </c>
      <c r="AO257" s="3">
        <f t="shared" si="17"/>
        <v>2241.14</v>
      </c>
      <c r="AP257" s="44">
        <f t="shared" si="18"/>
        <v>21525.74</v>
      </c>
      <c r="AQ257" s="48">
        <f t="shared" si="19"/>
        <v>5</v>
      </c>
      <c r="AR257" s="46">
        <f t="shared" si="20"/>
        <v>0.003776081626</v>
      </c>
      <c r="AS257" s="47">
        <f t="shared" si="21"/>
        <v>0.0005848857264</v>
      </c>
      <c r="AT257" s="5"/>
      <c r="AU257" s="49">
        <f t="shared" si="27"/>
        <v>21525.74</v>
      </c>
      <c r="AV257" s="50">
        <f t="shared" si="23"/>
        <v>1</v>
      </c>
      <c r="AW257" s="51">
        <f t="shared" si="24"/>
        <v>0.00208849588</v>
      </c>
      <c r="AX257" s="52">
        <f t="shared" si="25"/>
        <v>0.0003234917968</v>
      </c>
      <c r="AY257" s="5"/>
      <c r="AZ257" s="53">
        <f t="shared" si="26"/>
        <v>1</v>
      </c>
      <c r="BA257" s="5"/>
      <c r="BB257" s="5"/>
      <c r="BC257" s="5"/>
    </row>
    <row r="258" ht="12.75" customHeight="1">
      <c r="A258" s="25"/>
      <c r="B258" s="27" t="s">
        <v>474</v>
      </c>
      <c r="C258" s="27"/>
      <c r="D258" s="28">
        <v>21722.72</v>
      </c>
      <c r="E258" s="29" t="s">
        <v>39</v>
      </c>
      <c r="F258" s="30">
        <v>41548.0</v>
      </c>
      <c r="G258" s="30" t="s">
        <v>40</v>
      </c>
      <c r="H258" s="30">
        <v>41698.0</v>
      </c>
      <c r="I258" s="32">
        <f t="shared" si="1"/>
        <v>5</v>
      </c>
      <c r="J258" s="33" t="s">
        <v>475</v>
      </c>
      <c r="K258" s="34">
        <v>17500.0</v>
      </c>
      <c r="L258" s="115">
        <v>923.34</v>
      </c>
      <c r="M258" s="35">
        <v>2303.0</v>
      </c>
      <c r="N258" s="35">
        <v>212.82000000000002</v>
      </c>
      <c r="O258" s="35">
        <f t="shared" si="65"/>
        <v>4222.72</v>
      </c>
      <c r="P258" s="35">
        <f t="shared" si="3"/>
        <v>7661.88</v>
      </c>
      <c r="Q258" s="36">
        <f t="shared" si="4"/>
        <v>0.3527127358</v>
      </c>
      <c r="R258" s="36">
        <f t="shared" si="5"/>
        <v>0.6472872642</v>
      </c>
      <c r="S258" s="37"/>
      <c r="T258" s="5"/>
      <c r="U258" s="54">
        <v>93.12</v>
      </c>
      <c r="V258" s="55">
        <v>1373.66</v>
      </c>
      <c r="W258" s="55">
        <f t="shared" si="62"/>
        <v>1466.78</v>
      </c>
      <c r="X258" s="56">
        <v>0.0775</v>
      </c>
      <c r="Y258" s="55">
        <f t="shared" si="63"/>
        <v>830.2245041</v>
      </c>
      <c r="Z258" s="55">
        <f t="shared" si="43"/>
        <v>830.2245041</v>
      </c>
      <c r="AA258" s="57">
        <f t="shared" si="44"/>
        <v>923.3445041</v>
      </c>
      <c r="AB258" s="5"/>
      <c r="AC258" s="42">
        <f t="shared" si="6"/>
        <v>0</v>
      </c>
      <c r="AD258" s="3">
        <f t="shared" si="7"/>
        <v>1</v>
      </c>
      <c r="AE258" s="3">
        <f t="shared" si="8"/>
        <v>0</v>
      </c>
      <c r="AF258" s="43">
        <f t="shared" si="9"/>
        <v>0</v>
      </c>
      <c r="AG258" s="44">
        <f t="shared" si="10"/>
        <v>0</v>
      </c>
      <c r="AH258" s="45">
        <f t="shared" si="11"/>
        <v>0</v>
      </c>
      <c r="AI258" s="46">
        <f t="shared" si="12"/>
        <v>0</v>
      </c>
      <c r="AJ258" s="47">
        <f t="shared" si="13"/>
        <v>0</v>
      </c>
      <c r="AK258" s="5"/>
      <c r="AL258" s="42">
        <f t="shared" si="14"/>
        <v>1</v>
      </c>
      <c r="AM258" s="3">
        <f t="shared" si="15"/>
        <v>1</v>
      </c>
      <c r="AN258" s="3">
        <f t="shared" si="16"/>
        <v>1</v>
      </c>
      <c r="AO258" s="3">
        <f t="shared" si="17"/>
        <v>2515.82</v>
      </c>
      <c r="AP258" s="44">
        <f t="shared" si="18"/>
        <v>21722.72</v>
      </c>
      <c r="AQ258" s="48">
        <f t="shared" si="19"/>
        <v>5</v>
      </c>
      <c r="AR258" s="46">
        <f t="shared" si="20"/>
        <v>0.00381063619</v>
      </c>
      <c r="AS258" s="47">
        <f t="shared" si="21"/>
        <v>0.001344059916</v>
      </c>
      <c r="AT258" s="5"/>
      <c r="AU258" s="49">
        <f t="shared" si="27"/>
        <v>21722.72</v>
      </c>
      <c r="AV258" s="50">
        <f t="shared" si="23"/>
        <v>1</v>
      </c>
      <c r="AW258" s="51">
        <f t="shared" si="24"/>
        <v>0.002107607508</v>
      </c>
      <c r="AX258" s="52">
        <f t="shared" si="25"/>
        <v>0.00074338001</v>
      </c>
      <c r="AY258" s="5"/>
      <c r="AZ258" s="53">
        <f t="shared" si="26"/>
        <v>1</v>
      </c>
      <c r="BA258" s="5"/>
      <c r="BB258" s="5"/>
      <c r="BC258" s="5"/>
    </row>
    <row r="259" ht="12.75" customHeight="1">
      <c r="A259" s="69"/>
      <c r="B259" s="27" t="s">
        <v>476</v>
      </c>
      <c r="C259" s="27"/>
      <c r="D259" s="28">
        <v>23487.25</v>
      </c>
      <c r="E259" s="29" t="s">
        <v>39</v>
      </c>
      <c r="F259" s="30">
        <v>41548.0</v>
      </c>
      <c r="G259" s="30" t="s">
        <v>40</v>
      </c>
      <c r="H259" s="30">
        <v>41759.0</v>
      </c>
      <c r="I259" s="32">
        <f t="shared" si="1"/>
        <v>7.033333333</v>
      </c>
      <c r="J259" s="33" t="s">
        <v>477</v>
      </c>
      <c r="K259" s="34">
        <v>25000.0</v>
      </c>
      <c r="L259" s="115">
        <v>1567.37</v>
      </c>
      <c r="M259" s="35">
        <v>3131.64</v>
      </c>
      <c r="N259" s="35">
        <v>819.9900000000001</v>
      </c>
      <c r="O259" s="35">
        <f t="shared" si="65"/>
        <v>0</v>
      </c>
      <c r="P259" s="35">
        <f t="shared" si="3"/>
        <v>4006.25</v>
      </c>
      <c r="Q259" s="36">
        <f t="shared" si="4"/>
        <v>0.1705712674</v>
      </c>
      <c r="R259" s="36">
        <f t="shared" si="5"/>
        <v>0.8294287326</v>
      </c>
      <c r="S259" s="37"/>
      <c r="T259" s="5"/>
      <c r="U259" s="54">
        <v>669.71</v>
      </c>
      <c r="V259" s="55">
        <v>3490.92</v>
      </c>
      <c r="W259" s="55">
        <f t="shared" si="62"/>
        <v>4160.63</v>
      </c>
      <c r="X259" s="56">
        <v>0.0775</v>
      </c>
      <c r="Y259" s="55">
        <f t="shared" si="63"/>
        <v>897.6633904</v>
      </c>
      <c r="Z259" s="55">
        <f t="shared" si="43"/>
        <v>897.6633904</v>
      </c>
      <c r="AA259" s="57">
        <f t="shared" si="44"/>
        <v>1567.37339</v>
      </c>
      <c r="AB259" s="5"/>
      <c r="AC259" s="42">
        <f t="shared" si="6"/>
        <v>0</v>
      </c>
      <c r="AD259" s="3">
        <f t="shared" si="7"/>
        <v>1</v>
      </c>
      <c r="AE259" s="3">
        <f t="shared" si="8"/>
        <v>0</v>
      </c>
      <c r="AF259" s="43">
        <f t="shared" si="9"/>
        <v>0</v>
      </c>
      <c r="AG259" s="44">
        <f t="shared" si="10"/>
        <v>0</v>
      </c>
      <c r="AH259" s="45">
        <f t="shared" si="11"/>
        <v>0</v>
      </c>
      <c r="AI259" s="46">
        <f t="shared" si="12"/>
        <v>0</v>
      </c>
      <c r="AJ259" s="47">
        <f t="shared" si="13"/>
        <v>0</v>
      </c>
      <c r="AK259" s="5"/>
      <c r="AL259" s="42">
        <f t="shared" si="14"/>
        <v>1</v>
      </c>
      <c r="AM259" s="3">
        <f t="shared" si="15"/>
        <v>1</v>
      </c>
      <c r="AN259" s="3">
        <f t="shared" si="16"/>
        <v>1</v>
      </c>
      <c r="AO259" s="3">
        <f t="shared" si="17"/>
        <v>3951.63</v>
      </c>
      <c r="AP259" s="44">
        <f t="shared" si="18"/>
        <v>23487.25</v>
      </c>
      <c r="AQ259" s="48">
        <f t="shared" si="19"/>
        <v>7.033333333</v>
      </c>
      <c r="AR259" s="46">
        <f t="shared" si="20"/>
        <v>0.00412017302</v>
      </c>
      <c r="AS259" s="47">
        <f t="shared" si="21"/>
        <v>0.0007027831338</v>
      </c>
      <c r="AT259" s="5"/>
      <c r="AU259" s="49">
        <f t="shared" si="27"/>
        <v>23487.25</v>
      </c>
      <c r="AV259" s="50">
        <f t="shared" si="23"/>
        <v>1</v>
      </c>
      <c r="AW259" s="51">
        <f t="shared" si="24"/>
        <v>0.00227880783</v>
      </c>
      <c r="AX259" s="52">
        <f t="shared" si="25"/>
        <v>0.0003886991398</v>
      </c>
      <c r="AY259" s="5"/>
      <c r="AZ259" s="53">
        <f t="shared" si="26"/>
        <v>1</v>
      </c>
      <c r="BA259" s="5"/>
      <c r="BB259" s="5"/>
      <c r="BC259" s="5"/>
    </row>
    <row r="260" ht="12.75" customHeight="1">
      <c r="A260" s="25"/>
      <c r="B260" s="27" t="s">
        <v>478</v>
      </c>
      <c r="C260" s="27"/>
      <c r="D260" s="28">
        <v>10199.27</v>
      </c>
      <c r="E260" s="29" t="s">
        <v>39</v>
      </c>
      <c r="F260" s="30">
        <v>41548.0</v>
      </c>
      <c r="G260" s="30" t="s">
        <v>40</v>
      </c>
      <c r="H260" s="30">
        <v>41882.0</v>
      </c>
      <c r="I260" s="32">
        <f t="shared" si="1"/>
        <v>11.13333333</v>
      </c>
      <c r="J260" s="33" t="s">
        <v>479</v>
      </c>
      <c r="K260" s="34">
        <v>11000.0</v>
      </c>
      <c r="L260" s="115">
        <v>599.51</v>
      </c>
      <c r="M260" s="35">
        <v>1723.47</v>
      </c>
      <c r="N260" s="35">
        <v>71.94</v>
      </c>
      <c r="O260" s="35">
        <f t="shared" si="65"/>
        <v>0</v>
      </c>
      <c r="P260" s="35">
        <f t="shared" si="3"/>
        <v>1594.19</v>
      </c>
      <c r="Q260" s="36">
        <f t="shared" si="4"/>
        <v>0.1563043237</v>
      </c>
      <c r="R260" s="36">
        <f t="shared" si="5"/>
        <v>0.8436956763</v>
      </c>
      <c r="S260" s="37"/>
      <c r="T260" s="5"/>
      <c r="U260" s="54">
        <v>209.7</v>
      </c>
      <c r="V260" s="55">
        <v>640.54</v>
      </c>
      <c r="W260" s="55">
        <f t="shared" si="62"/>
        <v>850.24</v>
      </c>
      <c r="X260" s="56">
        <v>0.0775</v>
      </c>
      <c r="Y260" s="55">
        <f t="shared" si="63"/>
        <v>389.8077164</v>
      </c>
      <c r="Z260" s="55">
        <f t="shared" si="43"/>
        <v>389.8077164</v>
      </c>
      <c r="AA260" s="57">
        <f t="shared" si="44"/>
        <v>599.5077164</v>
      </c>
      <c r="AB260" s="5"/>
      <c r="AC260" s="42">
        <f t="shared" si="6"/>
        <v>0</v>
      </c>
      <c r="AD260" s="3">
        <f t="shared" si="7"/>
        <v>1</v>
      </c>
      <c r="AE260" s="3">
        <f t="shared" si="8"/>
        <v>0</v>
      </c>
      <c r="AF260" s="43">
        <f t="shared" si="9"/>
        <v>0</v>
      </c>
      <c r="AG260" s="44">
        <f t="shared" si="10"/>
        <v>0</v>
      </c>
      <c r="AH260" s="45">
        <f t="shared" si="11"/>
        <v>0</v>
      </c>
      <c r="AI260" s="46">
        <f t="shared" si="12"/>
        <v>0</v>
      </c>
      <c r="AJ260" s="47">
        <f t="shared" si="13"/>
        <v>0</v>
      </c>
      <c r="AK260" s="5"/>
      <c r="AL260" s="42">
        <f t="shared" si="14"/>
        <v>1</v>
      </c>
      <c r="AM260" s="3">
        <f t="shared" si="15"/>
        <v>1</v>
      </c>
      <c r="AN260" s="3">
        <f t="shared" si="16"/>
        <v>1</v>
      </c>
      <c r="AO260" s="3">
        <f t="shared" si="17"/>
        <v>1795.41</v>
      </c>
      <c r="AP260" s="44">
        <f t="shared" si="18"/>
        <v>10199.27</v>
      </c>
      <c r="AQ260" s="48">
        <f t="shared" si="19"/>
        <v>11.13333333</v>
      </c>
      <c r="AR260" s="46">
        <f t="shared" si="20"/>
        <v>0.00178917315</v>
      </c>
      <c r="AS260" s="47">
        <f t="shared" si="21"/>
        <v>0.0002796554993</v>
      </c>
      <c r="AT260" s="5"/>
      <c r="AU260" s="49">
        <f t="shared" si="27"/>
        <v>10199.27</v>
      </c>
      <c r="AV260" s="50">
        <f t="shared" si="23"/>
        <v>1</v>
      </c>
      <c r="AW260" s="51">
        <f t="shared" si="24"/>
        <v>0.0009895656725</v>
      </c>
      <c r="AX260" s="52">
        <f t="shared" si="25"/>
        <v>0.0001546733932</v>
      </c>
      <c r="AY260" s="5"/>
      <c r="AZ260" s="53">
        <f t="shared" si="26"/>
        <v>1</v>
      </c>
      <c r="BA260" s="5"/>
      <c r="BB260" s="5"/>
      <c r="BC260" s="5"/>
    </row>
    <row r="261" ht="12.75" customHeight="1">
      <c r="A261" s="25"/>
      <c r="B261" s="27" t="s">
        <v>480</v>
      </c>
      <c r="C261" s="27"/>
      <c r="D261" s="28">
        <v>37882.0</v>
      </c>
      <c r="E261" s="29" t="s">
        <v>39</v>
      </c>
      <c r="F261" s="30">
        <v>41579.0</v>
      </c>
      <c r="G261" s="30" t="s">
        <v>40</v>
      </c>
      <c r="H261" s="30">
        <v>41579.0</v>
      </c>
      <c r="I261" s="32">
        <f t="shared" si="1"/>
        <v>0</v>
      </c>
      <c r="J261" s="33" t="s">
        <v>481</v>
      </c>
      <c r="K261" s="34">
        <v>40000.0</v>
      </c>
      <c r="L261" s="115">
        <v>1573.0</v>
      </c>
      <c r="M261" s="35">
        <v>1313.5100000000002</v>
      </c>
      <c r="N261" s="35">
        <v>54.99</v>
      </c>
      <c r="O261" s="35">
        <f t="shared" si="65"/>
        <v>0</v>
      </c>
      <c r="P261" s="35">
        <f t="shared" si="3"/>
        <v>823.5</v>
      </c>
      <c r="Q261" s="36">
        <f t="shared" si="4"/>
        <v>0.02173855657</v>
      </c>
      <c r="R261" s="36">
        <f t="shared" si="5"/>
        <v>0.9782614434</v>
      </c>
      <c r="S261" s="37"/>
      <c r="T261" s="5"/>
      <c r="U261" s="54">
        <f>22.58+9.19</f>
        <v>31.77</v>
      </c>
      <c r="V261" s="55">
        <f>2604.78+0.05+0.12</f>
        <v>2604.95</v>
      </c>
      <c r="W261" s="55">
        <f t="shared" si="62"/>
        <v>2636.72</v>
      </c>
      <c r="X261" s="56">
        <v>0.0825</v>
      </c>
      <c r="Y261" s="55">
        <f t="shared" si="63"/>
        <v>1541.226575</v>
      </c>
      <c r="Z261" s="55">
        <f t="shared" si="43"/>
        <v>1541.226575</v>
      </c>
      <c r="AA261" s="57">
        <f t="shared" si="44"/>
        <v>1572.996575</v>
      </c>
      <c r="AB261" s="5"/>
      <c r="AC261" s="42">
        <f t="shared" si="6"/>
        <v>0</v>
      </c>
      <c r="AD261" s="3">
        <f t="shared" si="7"/>
        <v>1</v>
      </c>
      <c r="AE261" s="3">
        <f t="shared" si="8"/>
        <v>0</v>
      </c>
      <c r="AF261" s="43">
        <f t="shared" si="9"/>
        <v>0</v>
      </c>
      <c r="AG261" s="44">
        <f t="shared" si="10"/>
        <v>0</v>
      </c>
      <c r="AH261" s="45">
        <f t="shared" si="11"/>
        <v>0</v>
      </c>
      <c r="AI261" s="46">
        <f t="shared" si="12"/>
        <v>0</v>
      </c>
      <c r="AJ261" s="47">
        <f t="shared" si="13"/>
        <v>0</v>
      </c>
      <c r="AK261" s="5"/>
      <c r="AL261" s="42">
        <f t="shared" si="14"/>
        <v>1</v>
      </c>
      <c r="AM261" s="3">
        <f t="shared" si="15"/>
        <v>1</v>
      </c>
      <c r="AN261" s="3">
        <f t="shared" si="16"/>
        <v>1</v>
      </c>
      <c r="AO261" s="3">
        <f t="shared" si="17"/>
        <v>1368.5</v>
      </c>
      <c r="AP261" s="44">
        <f t="shared" si="18"/>
        <v>37882</v>
      </c>
      <c r="AQ261" s="48">
        <f t="shared" si="19"/>
        <v>0</v>
      </c>
      <c r="AR261" s="46">
        <f t="shared" si="20"/>
        <v>0.00664532435</v>
      </c>
      <c r="AS261" s="47">
        <f t="shared" si="21"/>
        <v>0.0001444597593</v>
      </c>
      <c r="AT261" s="5"/>
      <c r="AU261" s="49">
        <f t="shared" si="27"/>
        <v>37882</v>
      </c>
      <c r="AV261" s="50">
        <f t="shared" si="23"/>
        <v>1</v>
      </c>
      <c r="AW261" s="51">
        <f t="shared" si="24"/>
        <v>0.00367543234</v>
      </c>
      <c r="AX261" s="52">
        <f t="shared" si="25"/>
        <v>0.00007989859385</v>
      </c>
      <c r="AY261" s="5"/>
      <c r="AZ261" s="53">
        <f t="shared" si="26"/>
        <v>1</v>
      </c>
      <c r="BA261" s="5"/>
      <c r="BB261" s="5"/>
      <c r="BC261" s="5"/>
    </row>
    <row r="262" ht="12.75" customHeight="1">
      <c r="A262" s="69"/>
      <c r="B262" s="27" t="s">
        <v>482</v>
      </c>
      <c r="C262" s="27"/>
      <c r="D262" s="28">
        <v>20515.0</v>
      </c>
      <c r="E262" s="29" t="s">
        <v>39</v>
      </c>
      <c r="F262" s="30">
        <v>41579.0</v>
      </c>
      <c r="G262" s="30" t="s">
        <v>40</v>
      </c>
      <c r="H262" s="30">
        <v>41670.0</v>
      </c>
      <c r="I262" s="32">
        <f t="shared" si="1"/>
        <v>3.033333333</v>
      </c>
      <c r="J262" s="33" t="s">
        <v>483</v>
      </c>
      <c r="K262" s="34">
        <v>20000.0</v>
      </c>
      <c r="L262" s="115">
        <v>1055.6</v>
      </c>
      <c r="M262" s="35">
        <v>2320.99</v>
      </c>
      <c r="N262" s="35">
        <v>1871.25</v>
      </c>
      <c r="O262" s="35">
        <f t="shared" si="65"/>
        <v>515</v>
      </c>
      <c r="P262" s="35">
        <f t="shared" si="3"/>
        <v>5762.84</v>
      </c>
      <c r="Q262" s="36">
        <f t="shared" si="4"/>
        <v>0.2809086035</v>
      </c>
      <c r="R262" s="36">
        <f t="shared" si="5"/>
        <v>0.7190913965</v>
      </c>
      <c r="S262" s="37"/>
      <c r="T262" s="5"/>
      <c r="U262" s="54">
        <v>246.24</v>
      </c>
      <c r="V262" s="55">
        <v>1372.77</v>
      </c>
      <c r="W262" s="55">
        <f t="shared" si="62"/>
        <v>1619.01</v>
      </c>
      <c r="X262" s="56">
        <v>0.08</v>
      </c>
      <c r="Y262" s="55">
        <f t="shared" si="63"/>
        <v>809.3589041</v>
      </c>
      <c r="Z262" s="55">
        <f t="shared" si="43"/>
        <v>809.3589041</v>
      </c>
      <c r="AA262" s="57">
        <f t="shared" si="44"/>
        <v>1055.598904</v>
      </c>
      <c r="AB262" s="5"/>
      <c r="AC262" s="42">
        <f t="shared" si="6"/>
        <v>0</v>
      </c>
      <c r="AD262" s="3">
        <f t="shared" si="7"/>
        <v>1</v>
      </c>
      <c r="AE262" s="3">
        <f t="shared" si="8"/>
        <v>0</v>
      </c>
      <c r="AF262" s="43">
        <f t="shared" si="9"/>
        <v>0</v>
      </c>
      <c r="AG262" s="44">
        <f t="shared" si="10"/>
        <v>0</v>
      </c>
      <c r="AH262" s="45">
        <f t="shared" si="11"/>
        <v>0</v>
      </c>
      <c r="AI262" s="46">
        <f t="shared" si="12"/>
        <v>0</v>
      </c>
      <c r="AJ262" s="47">
        <f t="shared" si="13"/>
        <v>0</v>
      </c>
      <c r="AK262" s="5"/>
      <c r="AL262" s="42">
        <f t="shared" si="14"/>
        <v>1</v>
      </c>
      <c r="AM262" s="3">
        <f t="shared" si="15"/>
        <v>1</v>
      </c>
      <c r="AN262" s="3">
        <f t="shared" si="16"/>
        <v>1</v>
      </c>
      <c r="AO262" s="3">
        <f t="shared" si="17"/>
        <v>4192.24</v>
      </c>
      <c r="AP262" s="44">
        <f t="shared" si="18"/>
        <v>20515</v>
      </c>
      <c r="AQ262" s="48">
        <f t="shared" si="19"/>
        <v>3.033333333</v>
      </c>
      <c r="AR262" s="46">
        <f t="shared" si="20"/>
        <v>0.00359877591</v>
      </c>
      <c r="AS262" s="47">
        <f t="shared" si="21"/>
        <v>0.001010927115</v>
      </c>
      <c r="AT262" s="5"/>
      <c r="AU262" s="49">
        <f t="shared" si="27"/>
        <v>20515</v>
      </c>
      <c r="AV262" s="50">
        <f t="shared" si="23"/>
        <v>1</v>
      </c>
      <c r="AW262" s="51">
        <f t="shared" si="24"/>
        <v>0.001990430665</v>
      </c>
      <c r="AX262" s="52">
        <f t="shared" si="25"/>
        <v>0.0005591290985</v>
      </c>
      <c r="AY262" s="5"/>
      <c r="AZ262" s="53">
        <f t="shared" si="26"/>
        <v>1</v>
      </c>
      <c r="BA262" s="5"/>
      <c r="BB262" s="5"/>
      <c r="BC262" s="5"/>
    </row>
    <row r="263" ht="12.75" customHeight="1">
      <c r="A263" s="25"/>
      <c r="B263" s="27" t="s">
        <v>484</v>
      </c>
      <c r="C263" s="27"/>
      <c r="D263" s="28">
        <v>23799.08</v>
      </c>
      <c r="E263" s="29" t="s">
        <v>39</v>
      </c>
      <c r="F263" s="30">
        <v>41579.0</v>
      </c>
      <c r="G263" s="30" t="s">
        <v>40</v>
      </c>
      <c r="H263" s="30">
        <v>41820.0</v>
      </c>
      <c r="I263" s="32">
        <f t="shared" si="1"/>
        <v>8.033333333</v>
      </c>
      <c r="J263" s="33" t="s">
        <v>485</v>
      </c>
      <c r="K263" s="34">
        <v>23000.0</v>
      </c>
      <c r="L263" s="115">
        <v>1240.58</v>
      </c>
      <c r="M263" s="35">
        <v>2769.07</v>
      </c>
      <c r="N263" s="35">
        <v>373.13</v>
      </c>
      <c r="O263" s="35">
        <f t="shared" si="65"/>
        <v>799.08</v>
      </c>
      <c r="P263" s="35">
        <f t="shared" si="3"/>
        <v>5181.86</v>
      </c>
      <c r="Q263" s="36">
        <f t="shared" si="4"/>
        <v>0.2177336267</v>
      </c>
      <c r="R263" s="36">
        <f t="shared" si="5"/>
        <v>0.7822663733</v>
      </c>
      <c r="S263" s="37"/>
      <c r="T263" s="5"/>
      <c r="U263" s="54">
        <v>331.0</v>
      </c>
      <c r="V263" s="55">
        <v>2053.73</v>
      </c>
      <c r="W263" s="55">
        <f t="shared" si="62"/>
        <v>2384.73</v>
      </c>
      <c r="X263" s="56">
        <v>0.0775</v>
      </c>
      <c r="Y263" s="55">
        <f t="shared" si="63"/>
        <v>909.5812767</v>
      </c>
      <c r="Z263" s="55">
        <f t="shared" si="43"/>
        <v>909.5812767</v>
      </c>
      <c r="AA263" s="57">
        <f t="shared" si="44"/>
        <v>1240.581277</v>
      </c>
      <c r="AB263" s="5"/>
      <c r="AC263" s="42">
        <f t="shared" si="6"/>
        <v>0</v>
      </c>
      <c r="AD263" s="3">
        <f t="shared" si="7"/>
        <v>1</v>
      </c>
      <c r="AE263" s="3">
        <f t="shared" si="8"/>
        <v>0</v>
      </c>
      <c r="AF263" s="43">
        <f t="shared" si="9"/>
        <v>0</v>
      </c>
      <c r="AG263" s="44">
        <f t="shared" si="10"/>
        <v>0</v>
      </c>
      <c r="AH263" s="45">
        <f t="shared" si="11"/>
        <v>0</v>
      </c>
      <c r="AI263" s="46">
        <f t="shared" si="12"/>
        <v>0</v>
      </c>
      <c r="AJ263" s="47">
        <f t="shared" si="13"/>
        <v>0</v>
      </c>
      <c r="AK263" s="5"/>
      <c r="AL263" s="42">
        <f t="shared" si="14"/>
        <v>1</v>
      </c>
      <c r="AM263" s="3">
        <f t="shared" si="15"/>
        <v>1</v>
      </c>
      <c r="AN263" s="3">
        <f t="shared" si="16"/>
        <v>1</v>
      </c>
      <c r="AO263" s="3">
        <f t="shared" si="17"/>
        <v>3142.2</v>
      </c>
      <c r="AP263" s="44">
        <f t="shared" si="18"/>
        <v>23799.08</v>
      </c>
      <c r="AQ263" s="48">
        <f t="shared" si="19"/>
        <v>8.033333333</v>
      </c>
      <c r="AR263" s="46">
        <f t="shared" si="20"/>
        <v>0.004174874764</v>
      </c>
      <c r="AS263" s="47">
        <f t="shared" si="21"/>
        <v>0.0009090106234</v>
      </c>
      <c r="AT263" s="5"/>
      <c r="AU263" s="49">
        <f t="shared" si="27"/>
        <v>23799.08</v>
      </c>
      <c r="AV263" s="50">
        <f t="shared" si="23"/>
        <v>1</v>
      </c>
      <c r="AW263" s="51">
        <f t="shared" si="24"/>
        <v>0.002309062571</v>
      </c>
      <c r="AX263" s="52">
        <f t="shared" si="25"/>
        <v>0.0005027605677</v>
      </c>
      <c r="AY263" s="5"/>
      <c r="AZ263" s="53">
        <f t="shared" si="26"/>
        <v>1</v>
      </c>
      <c r="BA263" s="5"/>
      <c r="BB263" s="5"/>
      <c r="BC263" s="5"/>
    </row>
    <row r="264" ht="12.75" customHeight="1">
      <c r="A264" s="25"/>
      <c r="B264" s="27" t="s">
        <v>486</v>
      </c>
      <c r="C264" s="27"/>
      <c r="D264" s="28">
        <v>15111.23</v>
      </c>
      <c r="E264" s="29" t="s">
        <v>39</v>
      </c>
      <c r="F264" s="30">
        <v>41639.0</v>
      </c>
      <c r="G264" s="30" t="s">
        <v>40</v>
      </c>
      <c r="H264" s="30">
        <v>41670.0</v>
      </c>
      <c r="I264" s="32">
        <f t="shared" si="1"/>
        <v>1.033333333</v>
      </c>
      <c r="J264" s="33" t="s">
        <v>487</v>
      </c>
      <c r="K264" s="34">
        <v>17000.0</v>
      </c>
      <c r="L264" s="115">
        <v>827.84</v>
      </c>
      <c r="M264" s="35">
        <v>265.52000000000004</v>
      </c>
      <c r="N264" s="35">
        <v>156.82</v>
      </c>
      <c r="O264" s="35">
        <f t="shared" si="65"/>
        <v>0</v>
      </c>
      <c r="P264" s="35">
        <f t="shared" si="3"/>
        <v>0</v>
      </c>
      <c r="Q264" s="36">
        <f t="shared" si="4"/>
        <v>0</v>
      </c>
      <c r="R264" s="36">
        <f t="shared" si="5"/>
        <v>1</v>
      </c>
      <c r="S264" s="37"/>
      <c r="T264" s="5"/>
      <c r="U264" s="54">
        <v>133.3</v>
      </c>
      <c r="V264" s="55">
        <v>932.41</v>
      </c>
      <c r="W264" s="55">
        <f t="shared" si="62"/>
        <v>1065.71</v>
      </c>
      <c r="X264" s="56">
        <v>0.0932</v>
      </c>
      <c r="Y264" s="55">
        <f t="shared" si="63"/>
        <v>694.5369712</v>
      </c>
      <c r="Z264" s="55">
        <f t="shared" si="43"/>
        <v>694.5369712</v>
      </c>
      <c r="AA264" s="57">
        <f t="shared" si="44"/>
        <v>827.8369712</v>
      </c>
      <c r="AB264" s="5"/>
      <c r="AC264" s="42">
        <f t="shared" si="6"/>
        <v>0</v>
      </c>
      <c r="AD264" s="3">
        <f t="shared" si="7"/>
        <v>1</v>
      </c>
      <c r="AE264" s="3">
        <f t="shared" si="8"/>
        <v>0</v>
      </c>
      <c r="AF264" s="43">
        <f t="shared" si="9"/>
        <v>0</v>
      </c>
      <c r="AG264" s="44">
        <f t="shared" si="10"/>
        <v>0</v>
      </c>
      <c r="AH264" s="45">
        <f t="shared" si="11"/>
        <v>0</v>
      </c>
      <c r="AI264" s="46">
        <f t="shared" si="12"/>
        <v>0</v>
      </c>
      <c r="AJ264" s="47">
        <f t="shared" si="13"/>
        <v>0</v>
      </c>
      <c r="AK264" s="5"/>
      <c r="AL264" s="42">
        <f t="shared" si="14"/>
        <v>1</v>
      </c>
      <c r="AM264" s="3">
        <f t="shared" si="15"/>
        <v>1</v>
      </c>
      <c r="AN264" s="3">
        <f t="shared" si="16"/>
        <v>1</v>
      </c>
      <c r="AO264" s="3">
        <f t="shared" si="17"/>
        <v>422.34</v>
      </c>
      <c r="AP264" s="44">
        <f t="shared" si="18"/>
        <v>15111.23</v>
      </c>
      <c r="AQ264" s="48">
        <f t="shared" si="19"/>
        <v>1.033333333</v>
      </c>
      <c r="AR264" s="46">
        <f t="shared" si="20"/>
        <v>0.00265083746</v>
      </c>
      <c r="AS264" s="47">
        <f t="shared" si="21"/>
        <v>0</v>
      </c>
      <c r="AT264" s="5"/>
      <c r="AU264" s="49">
        <f t="shared" si="27"/>
        <v>15111.23</v>
      </c>
      <c r="AV264" s="50">
        <f t="shared" si="23"/>
        <v>1</v>
      </c>
      <c r="AW264" s="51">
        <f t="shared" si="24"/>
        <v>0.001466139682</v>
      </c>
      <c r="AX264" s="52">
        <f t="shared" si="25"/>
        <v>0</v>
      </c>
      <c r="AY264" s="5"/>
      <c r="AZ264" s="53">
        <f t="shared" si="26"/>
        <v>1</v>
      </c>
      <c r="BA264" s="5"/>
      <c r="BB264" s="5"/>
      <c r="BC264" s="5"/>
    </row>
    <row r="265" ht="12.75" customHeight="1">
      <c r="A265" s="25"/>
      <c r="B265" s="27" t="s">
        <v>488</v>
      </c>
      <c r="C265" s="27"/>
      <c r="D265" s="28">
        <v>22292.0</v>
      </c>
      <c r="E265" s="29" t="s">
        <v>49</v>
      </c>
      <c r="F265" s="30">
        <v>41670.0</v>
      </c>
      <c r="G265" s="30" t="s">
        <v>40</v>
      </c>
      <c r="H265" s="30">
        <v>41670.0</v>
      </c>
      <c r="I265" s="32">
        <f t="shared" si="1"/>
        <v>0</v>
      </c>
      <c r="J265" s="33" t="s">
        <v>489</v>
      </c>
      <c r="K265" s="34">
        <v>24000.0</v>
      </c>
      <c r="L265" s="65">
        <v>139.6</v>
      </c>
      <c r="M265" s="35">
        <v>145.49</v>
      </c>
      <c r="N265" s="35">
        <v>0.0</v>
      </c>
      <c r="O265" s="35">
        <f t="shared" si="65"/>
        <v>0</v>
      </c>
      <c r="P265" s="35">
        <f t="shared" si="3"/>
        <v>0</v>
      </c>
      <c r="Q265" s="36">
        <f t="shared" si="4"/>
        <v>0</v>
      </c>
      <c r="R265" s="36">
        <f t="shared" si="5"/>
        <v>1</v>
      </c>
      <c r="S265" s="37"/>
      <c r="T265" s="5"/>
      <c r="U265" s="54">
        <v>30.01</v>
      </c>
      <c r="V265" s="55">
        <v>79.58</v>
      </c>
      <c r="W265" s="55">
        <f t="shared" si="62"/>
        <v>109.59</v>
      </c>
      <c r="X265" s="56">
        <v>0.0862</v>
      </c>
      <c r="Y265" s="55">
        <f t="shared" si="63"/>
        <v>947.6237589</v>
      </c>
      <c r="Z265" s="55">
        <f t="shared" si="43"/>
        <v>109.59</v>
      </c>
      <c r="AA265" s="57">
        <f t="shared" si="44"/>
        <v>139.6</v>
      </c>
      <c r="AB265" s="5"/>
      <c r="AC265" s="42">
        <f t="shared" si="6"/>
        <v>1</v>
      </c>
      <c r="AD265" s="3">
        <f t="shared" si="7"/>
        <v>1</v>
      </c>
      <c r="AE265" s="3">
        <f t="shared" si="8"/>
        <v>1</v>
      </c>
      <c r="AF265" s="43">
        <f t="shared" si="9"/>
        <v>145.49</v>
      </c>
      <c r="AG265" s="44">
        <f t="shared" si="10"/>
        <v>22292</v>
      </c>
      <c r="AH265" s="45">
        <f t="shared" si="11"/>
        <v>0</v>
      </c>
      <c r="AI265" s="46">
        <f t="shared" si="12"/>
        <v>0.004824056873</v>
      </c>
      <c r="AJ265" s="47">
        <f t="shared" si="13"/>
        <v>0</v>
      </c>
      <c r="AK265" s="5"/>
      <c r="AL265" s="42">
        <f t="shared" si="14"/>
        <v>0</v>
      </c>
      <c r="AM265" s="3">
        <f t="shared" si="15"/>
        <v>1</v>
      </c>
      <c r="AN265" s="3">
        <f t="shared" si="16"/>
        <v>0</v>
      </c>
      <c r="AO265" s="3">
        <f t="shared" si="17"/>
        <v>0</v>
      </c>
      <c r="AP265" s="44">
        <f t="shared" si="18"/>
        <v>0</v>
      </c>
      <c r="AQ265" s="48">
        <f t="shared" si="19"/>
        <v>0</v>
      </c>
      <c r="AR265" s="46">
        <f t="shared" si="20"/>
        <v>0</v>
      </c>
      <c r="AS265" s="47">
        <f t="shared" si="21"/>
        <v>0</v>
      </c>
      <c r="AT265" s="5"/>
      <c r="AU265" s="49">
        <f t="shared" si="27"/>
        <v>22292</v>
      </c>
      <c r="AV265" s="50">
        <f t="shared" si="23"/>
        <v>1</v>
      </c>
      <c r="AW265" s="51">
        <f t="shared" si="24"/>
        <v>0.002162840867</v>
      </c>
      <c r="AX265" s="52">
        <f t="shared" si="25"/>
        <v>0</v>
      </c>
      <c r="AY265" s="5"/>
      <c r="AZ265" s="53">
        <f t="shared" si="26"/>
        <v>1</v>
      </c>
      <c r="BA265" s="5"/>
      <c r="BB265" s="5"/>
      <c r="BC265" s="5"/>
    </row>
    <row r="266" ht="12.75" customHeight="1">
      <c r="A266" s="25"/>
      <c r="B266" s="27" t="s">
        <v>490</v>
      </c>
      <c r="C266" s="27"/>
      <c r="D266" s="28">
        <v>11325.0</v>
      </c>
      <c r="E266" s="29" t="s">
        <v>39</v>
      </c>
      <c r="F266" s="30">
        <v>41670.0</v>
      </c>
      <c r="G266" s="30" t="s">
        <v>40</v>
      </c>
      <c r="H266" s="30">
        <v>41698.0</v>
      </c>
      <c r="I266" s="32">
        <f t="shared" si="1"/>
        <v>0.9333333333</v>
      </c>
      <c r="J266" s="33" t="s">
        <v>491</v>
      </c>
      <c r="K266" s="34">
        <v>14000.0</v>
      </c>
      <c r="L266" s="115">
        <v>690.47</v>
      </c>
      <c r="M266" s="35">
        <v>1454.3200000000002</v>
      </c>
      <c r="N266" s="35">
        <v>0.0</v>
      </c>
      <c r="O266" s="35">
        <f t="shared" si="65"/>
        <v>0</v>
      </c>
      <c r="P266" s="35">
        <f t="shared" si="3"/>
        <v>0</v>
      </c>
      <c r="Q266" s="36">
        <f t="shared" si="4"/>
        <v>0</v>
      </c>
      <c r="R266" s="36">
        <f t="shared" si="5"/>
        <v>1</v>
      </c>
      <c r="S266" s="37"/>
      <c r="T266" s="5"/>
      <c r="U266" s="54">
        <v>145.94</v>
      </c>
      <c r="V266" s="55">
        <v>918.76</v>
      </c>
      <c r="W266" s="55">
        <f t="shared" si="62"/>
        <v>1064.7</v>
      </c>
      <c r="X266" s="56">
        <v>0.0975</v>
      </c>
      <c r="Y266" s="55">
        <f t="shared" si="63"/>
        <v>544.5308219</v>
      </c>
      <c r="Z266" s="55">
        <f t="shared" si="43"/>
        <v>544.5308219</v>
      </c>
      <c r="AA266" s="57">
        <f t="shared" si="44"/>
        <v>690.4708219</v>
      </c>
      <c r="AB266" s="5"/>
      <c r="AC266" s="42">
        <f t="shared" si="6"/>
        <v>0</v>
      </c>
      <c r="AD266" s="3">
        <f t="shared" si="7"/>
        <v>1</v>
      </c>
      <c r="AE266" s="3">
        <f t="shared" si="8"/>
        <v>0</v>
      </c>
      <c r="AF266" s="43">
        <f t="shared" si="9"/>
        <v>0</v>
      </c>
      <c r="AG266" s="44">
        <f t="shared" si="10"/>
        <v>0</v>
      </c>
      <c r="AH266" s="45">
        <f t="shared" si="11"/>
        <v>0</v>
      </c>
      <c r="AI266" s="46">
        <f t="shared" si="12"/>
        <v>0</v>
      </c>
      <c r="AJ266" s="47">
        <f t="shared" si="13"/>
        <v>0</v>
      </c>
      <c r="AK266" s="5"/>
      <c r="AL266" s="42">
        <f t="shared" si="14"/>
        <v>1</v>
      </c>
      <c r="AM266" s="3">
        <f t="shared" si="15"/>
        <v>1</v>
      </c>
      <c r="AN266" s="3">
        <f t="shared" si="16"/>
        <v>1</v>
      </c>
      <c r="AO266" s="3">
        <f t="shared" si="17"/>
        <v>1454.32</v>
      </c>
      <c r="AP266" s="44">
        <f t="shared" si="18"/>
        <v>11325</v>
      </c>
      <c r="AQ266" s="48">
        <f t="shared" si="19"/>
        <v>0.9333333333</v>
      </c>
      <c r="AR266" s="46">
        <f t="shared" si="20"/>
        <v>0.001986650606</v>
      </c>
      <c r="AS266" s="47">
        <f t="shared" si="21"/>
        <v>0</v>
      </c>
      <c r="AT266" s="5"/>
      <c r="AU266" s="49">
        <f t="shared" si="27"/>
        <v>11325</v>
      </c>
      <c r="AV266" s="50">
        <f t="shared" si="23"/>
        <v>1</v>
      </c>
      <c r="AW266" s="51">
        <f t="shared" si="24"/>
        <v>0.001098787584</v>
      </c>
      <c r="AX266" s="52">
        <f t="shared" si="25"/>
        <v>0</v>
      </c>
      <c r="AY266" s="5"/>
      <c r="AZ266" s="53">
        <f t="shared" si="26"/>
        <v>1</v>
      </c>
      <c r="BA266" s="5"/>
      <c r="BB266" s="5"/>
      <c r="BC266" s="5"/>
    </row>
    <row r="267" ht="12.75" customHeight="1">
      <c r="A267" s="25"/>
      <c r="B267" s="27" t="s">
        <v>492</v>
      </c>
      <c r="C267" s="27"/>
      <c r="D267" s="28">
        <v>15096.41</v>
      </c>
      <c r="E267" s="29" t="s">
        <v>39</v>
      </c>
      <c r="F267" s="30">
        <v>41670.0</v>
      </c>
      <c r="G267" s="30" t="s">
        <v>40</v>
      </c>
      <c r="H267" s="30">
        <v>41820.0</v>
      </c>
      <c r="I267" s="32">
        <f t="shared" si="1"/>
        <v>5</v>
      </c>
      <c r="J267" s="33" t="s">
        <v>493</v>
      </c>
      <c r="K267" s="34">
        <v>16000.0</v>
      </c>
      <c r="L267" s="115">
        <v>722.97</v>
      </c>
      <c r="M267" s="35">
        <v>327.65999999999997</v>
      </c>
      <c r="N267" s="35">
        <v>227.15</v>
      </c>
      <c r="O267" s="35">
        <f t="shared" si="65"/>
        <v>0</v>
      </c>
      <c r="P267" s="35">
        <f t="shared" si="3"/>
        <v>374.19</v>
      </c>
      <c r="Q267" s="36">
        <f t="shared" si="4"/>
        <v>0.0247866877</v>
      </c>
      <c r="R267" s="36">
        <f t="shared" si="5"/>
        <v>0.9752133123</v>
      </c>
      <c r="S267" s="37"/>
      <c r="T267" s="5"/>
      <c r="U267" s="54">
        <v>26.14</v>
      </c>
      <c r="V267" s="55">
        <v>898.68</v>
      </c>
      <c r="W267" s="55">
        <f t="shared" si="62"/>
        <v>924.82</v>
      </c>
      <c r="X267" s="56">
        <v>0.0936</v>
      </c>
      <c r="Y267" s="55">
        <f t="shared" si="63"/>
        <v>696.8337416</v>
      </c>
      <c r="Z267" s="55">
        <f t="shared" si="43"/>
        <v>696.8337416</v>
      </c>
      <c r="AA267" s="57">
        <f t="shared" si="44"/>
        <v>722.9737416</v>
      </c>
      <c r="AB267" s="5"/>
      <c r="AC267" s="42">
        <f t="shared" si="6"/>
        <v>0</v>
      </c>
      <c r="AD267" s="3">
        <f t="shared" si="7"/>
        <v>1</v>
      </c>
      <c r="AE267" s="3">
        <f t="shared" si="8"/>
        <v>0</v>
      </c>
      <c r="AF267" s="43">
        <f t="shared" si="9"/>
        <v>0</v>
      </c>
      <c r="AG267" s="44">
        <f t="shared" si="10"/>
        <v>0</v>
      </c>
      <c r="AH267" s="45">
        <f t="shared" si="11"/>
        <v>0</v>
      </c>
      <c r="AI267" s="46">
        <f t="shared" si="12"/>
        <v>0</v>
      </c>
      <c r="AJ267" s="47">
        <f t="shared" si="13"/>
        <v>0</v>
      </c>
      <c r="AK267" s="5"/>
      <c r="AL267" s="42">
        <f t="shared" si="14"/>
        <v>1</v>
      </c>
      <c r="AM267" s="3">
        <f t="shared" si="15"/>
        <v>1</v>
      </c>
      <c r="AN267" s="3">
        <f t="shared" si="16"/>
        <v>1</v>
      </c>
      <c r="AO267" s="3">
        <f t="shared" si="17"/>
        <v>554.81</v>
      </c>
      <c r="AP267" s="44">
        <f t="shared" si="18"/>
        <v>15096.41</v>
      </c>
      <c r="AQ267" s="48">
        <f t="shared" si="19"/>
        <v>5</v>
      </c>
      <c r="AR267" s="46">
        <f t="shared" si="20"/>
        <v>0.002648237711</v>
      </c>
      <c r="AS267" s="47">
        <f t="shared" si="21"/>
        <v>0.00006564104109</v>
      </c>
      <c r="AT267" s="5"/>
      <c r="AU267" s="49">
        <f t="shared" si="27"/>
        <v>15096.41</v>
      </c>
      <c r="AV267" s="50">
        <f t="shared" si="23"/>
        <v>1</v>
      </c>
      <c r="AW267" s="51">
        <f t="shared" si="24"/>
        <v>0.001464701799</v>
      </c>
      <c r="AX267" s="52">
        <f t="shared" si="25"/>
        <v>0.00003630510605</v>
      </c>
      <c r="AY267" s="5"/>
      <c r="AZ267" s="53">
        <f t="shared" si="26"/>
        <v>1</v>
      </c>
      <c r="BA267" s="5"/>
      <c r="BB267" s="5"/>
      <c r="BC267" s="5"/>
    </row>
    <row r="268" ht="12.75" customHeight="1">
      <c r="A268" s="25"/>
      <c r="B268" s="27" t="s">
        <v>494</v>
      </c>
      <c r="C268" s="27"/>
      <c r="D268" s="28">
        <v>35432.62</v>
      </c>
      <c r="E268" s="29" t="s">
        <v>49</v>
      </c>
      <c r="F268" s="30">
        <v>41670.0</v>
      </c>
      <c r="G268" s="30" t="s">
        <v>40</v>
      </c>
      <c r="H268" s="30">
        <v>42152.0</v>
      </c>
      <c r="I268" s="32">
        <f t="shared" si="1"/>
        <v>16.06666667</v>
      </c>
      <c r="J268" s="33" t="s">
        <v>495</v>
      </c>
      <c r="K268" s="34">
        <v>38000.0</v>
      </c>
      <c r="L268" s="115">
        <v>1343.63</v>
      </c>
      <c r="M268" s="35">
        <v>3502.43</v>
      </c>
      <c r="N268" s="35">
        <v>0.0</v>
      </c>
      <c r="O268" s="35">
        <f t="shared" si="65"/>
        <v>0</v>
      </c>
      <c r="P268" s="35">
        <f t="shared" si="3"/>
        <v>2278.68</v>
      </c>
      <c r="Q268" s="36">
        <f t="shared" si="4"/>
        <v>0.06431023165</v>
      </c>
      <c r="R268" s="36">
        <f t="shared" si="5"/>
        <v>0.9356897684</v>
      </c>
      <c r="S268" s="37"/>
      <c r="T268" s="5"/>
      <c r="U268" s="54">
        <v>164.16</v>
      </c>
      <c r="V268" s="55">
        <v>1651.26</v>
      </c>
      <c r="W268" s="55">
        <f t="shared" si="62"/>
        <v>1815.42</v>
      </c>
      <c r="X268" s="56">
        <v>0.0675</v>
      </c>
      <c r="Y268" s="55">
        <f t="shared" si="63"/>
        <v>1179.469405</v>
      </c>
      <c r="Z268" s="55">
        <f t="shared" si="43"/>
        <v>1179.469405</v>
      </c>
      <c r="AA268" s="57">
        <f t="shared" si="44"/>
        <v>1343.629405</v>
      </c>
      <c r="AB268" s="5"/>
      <c r="AC268" s="42">
        <f t="shared" si="6"/>
        <v>1</v>
      </c>
      <c r="AD268" s="3">
        <f t="shared" si="7"/>
        <v>1</v>
      </c>
      <c r="AE268" s="3">
        <f t="shared" si="8"/>
        <v>1</v>
      </c>
      <c r="AF268" s="43">
        <f t="shared" si="9"/>
        <v>3502.43</v>
      </c>
      <c r="AG268" s="44">
        <f t="shared" si="10"/>
        <v>35432.62</v>
      </c>
      <c r="AH268" s="45">
        <f t="shared" si="11"/>
        <v>16.06666667</v>
      </c>
      <c r="AI268" s="46">
        <f t="shared" si="12"/>
        <v>0.007667727169</v>
      </c>
      <c r="AJ268" s="47">
        <f t="shared" si="13"/>
        <v>0.0004931133104</v>
      </c>
      <c r="AK268" s="5"/>
      <c r="AL268" s="42">
        <f t="shared" si="14"/>
        <v>0</v>
      </c>
      <c r="AM268" s="3">
        <f t="shared" si="15"/>
        <v>1</v>
      </c>
      <c r="AN268" s="3">
        <f t="shared" si="16"/>
        <v>0</v>
      </c>
      <c r="AO268" s="3">
        <f t="shared" si="17"/>
        <v>0</v>
      </c>
      <c r="AP268" s="44">
        <f t="shared" si="18"/>
        <v>0</v>
      </c>
      <c r="AQ268" s="48">
        <f t="shared" si="19"/>
        <v>0</v>
      </c>
      <c r="AR268" s="46">
        <f t="shared" si="20"/>
        <v>0</v>
      </c>
      <c r="AS268" s="47">
        <f t="shared" si="21"/>
        <v>0</v>
      </c>
      <c r="AT268" s="5"/>
      <c r="AU268" s="49">
        <f t="shared" si="27"/>
        <v>35432.62</v>
      </c>
      <c r="AV268" s="50">
        <f t="shared" si="23"/>
        <v>1</v>
      </c>
      <c r="AW268" s="51">
        <f t="shared" si="24"/>
        <v>0.003437785688</v>
      </c>
      <c r="AX268" s="52">
        <f t="shared" si="25"/>
        <v>0.000221084794</v>
      </c>
      <c r="AY268" s="5"/>
      <c r="AZ268" s="53">
        <f t="shared" si="26"/>
        <v>1</v>
      </c>
      <c r="BA268" s="5"/>
      <c r="BB268" s="5"/>
      <c r="BC268" s="5"/>
    </row>
    <row r="269" ht="12.75" customHeight="1">
      <c r="A269" s="25"/>
      <c r="B269" s="27" t="s">
        <v>496</v>
      </c>
      <c r="C269" s="27"/>
      <c r="D269" s="28">
        <v>44089.57</v>
      </c>
      <c r="E269" s="29" t="s">
        <v>49</v>
      </c>
      <c r="F269" s="30">
        <v>41698.0</v>
      </c>
      <c r="G269" s="30" t="s">
        <v>40</v>
      </c>
      <c r="H269" s="30">
        <v>42248.0</v>
      </c>
      <c r="I269" s="32">
        <f t="shared" si="1"/>
        <v>18.33333333</v>
      </c>
      <c r="J269" s="33" t="s">
        <v>497</v>
      </c>
      <c r="K269" s="34">
        <v>40000.0</v>
      </c>
      <c r="L269" s="115">
        <v>1901.23</v>
      </c>
      <c r="M269" s="35">
        <v>1846.38</v>
      </c>
      <c r="N269" s="35">
        <v>328.0</v>
      </c>
      <c r="O269" s="35">
        <f t="shared" si="65"/>
        <v>4089.57</v>
      </c>
      <c r="P269" s="35">
        <f t="shared" si="3"/>
        <v>8165.18</v>
      </c>
      <c r="Q269" s="36">
        <f t="shared" si="4"/>
        <v>0.1851952741</v>
      </c>
      <c r="R269" s="36">
        <f t="shared" si="5"/>
        <v>0.8148047259</v>
      </c>
      <c r="S269" s="37"/>
      <c r="T269" s="5"/>
      <c r="U269" s="54">
        <v>94.4</v>
      </c>
      <c r="V269" s="55">
        <v>3459.12</v>
      </c>
      <c r="W269" s="55">
        <f t="shared" si="62"/>
        <v>3553.52</v>
      </c>
      <c r="X269" s="56">
        <v>0.0831</v>
      </c>
      <c r="Y269" s="55">
        <f t="shared" si="63"/>
        <v>1806.826817</v>
      </c>
      <c r="Z269" s="55">
        <f t="shared" si="43"/>
        <v>1806.826817</v>
      </c>
      <c r="AA269" s="57">
        <f t="shared" si="44"/>
        <v>1901.226817</v>
      </c>
      <c r="AB269" s="5"/>
      <c r="AC269" s="42">
        <f t="shared" si="6"/>
        <v>1</v>
      </c>
      <c r="AD269" s="3">
        <f t="shared" si="7"/>
        <v>1</v>
      </c>
      <c r="AE269" s="3">
        <f t="shared" si="8"/>
        <v>1</v>
      </c>
      <c r="AF269" s="43">
        <f t="shared" si="9"/>
        <v>2174.38</v>
      </c>
      <c r="AG269" s="44">
        <f t="shared" si="10"/>
        <v>44089.57</v>
      </c>
      <c r="AH269" s="45">
        <f t="shared" si="11"/>
        <v>18.33333333</v>
      </c>
      <c r="AI269" s="46">
        <f t="shared" si="12"/>
        <v>0.009541117584</v>
      </c>
      <c r="AJ269" s="47">
        <f t="shared" si="13"/>
        <v>0.001766969886</v>
      </c>
      <c r="AK269" s="5"/>
      <c r="AL269" s="42">
        <f t="shared" si="14"/>
        <v>0</v>
      </c>
      <c r="AM269" s="3">
        <f t="shared" si="15"/>
        <v>1</v>
      </c>
      <c r="AN269" s="3">
        <f t="shared" si="16"/>
        <v>0</v>
      </c>
      <c r="AO269" s="3">
        <f t="shared" si="17"/>
        <v>0</v>
      </c>
      <c r="AP269" s="44">
        <f t="shared" si="18"/>
        <v>0</v>
      </c>
      <c r="AQ269" s="48">
        <f t="shared" si="19"/>
        <v>0</v>
      </c>
      <c r="AR269" s="46">
        <f t="shared" si="20"/>
        <v>0</v>
      </c>
      <c r="AS269" s="47">
        <f t="shared" si="21"/>
        <v>0</v>
      </c>
      <c r="AT269" s="5"/>
      <c r="AU269" s="49">
        <f t="shared" si="27"/>
        <v>44089.57</v>
      </c>
      <c r="AV269" s="50">
        <f t="shared" si="23"/>
        <v>1</v>
      </c>
      <c r="AW269" s="51">
        <f t="shared" si="24"/>
        <v>0.00427771056</v>
      </c>
      <c r="AX269" s="52">
        <f t="shared" si="25"/>
        <v>0.0007922117796</v>
      </c>
      <c r="AY269" s="5"/>
      <c r="AZ269" s="53">
        <f t="shared" si="26"/>
        <v>1</v>
      </c>
      <c r="BA269" s="5"/>
      <c r="BB269" s="5"/>
      <c r="BC269" s="5"/>
    </row>
    <row r="270" ht="12.75" customHeight="1">
      <c r="A270" s="25"/>
      <c r="B270" s="27" t="s">
        <v>498</v>
      </c>
      <c r="C270" s="27"/>
      <c r="D270" s="28">
        <v>17879.0</v>
      </c>
      <c r="E270" s="29" t="s">
        <v>39</v>
      </c>
      <c r="F270" s="30">
        <v>41729.0</v>
      </c>
      <c r="G270" s="30" t="s">
        <v>40</v>
      </c>
      <c r="H270" s="30">
        <v>41729.0</v>
      </c>
      <c r="I270" s="32">
        <f t="shared" si="1"/>
        <v>0</v>
      </c>
      <c r="J270" s="33" t="s">
        <v>499</v>
      </c>
      <c r="K270" s="116">
        <v>18000.0</v>
      </c>
      <c r="L270" s="115">
        <v>1227.62</v>
      </c>
      <c r="M270" s="35">
        <v>1187.69</v>
      </c>
      <c r="N270" s="35">
        <v>55.400000000000006</v>
      </c>
      <c r="O270" s="35">
        <f t="shared" si="65"/>
        <v>0</v>
      </c>
      <c r="P270" s="35">
        <f t="shared" si="3"/>
        <v>2349.71</v>
      </c>
      <c r="Q270" s="36">
        <f t="shared" si="4"/>
        <v>0.1314228984</v>
      </c>
      <c r="R270" s="36">
        <f t="shared" si="5"/>
        <v>0.8685771016</v>
      </c>
      <c r="S270" s="37"/>
      <c r="T270" s="5"/>
      <c r="U270" s="54">
        <v>478.17</v>
      </c>
      <c r="V270" s="55">
        <v>2859.94</v>
      </c>
      <c r="W270" s="55">
        <f t="shared" si="62"/>
        <v>3338.11</v>
      </c>
      <c r="X270" s="56">
        <v>0.085</v>
      </c>
      <c r="Y270" s="55">
        <f t="shared" si="63"/>
        <v>749.4484932</v>
      </c>
      <c r="Z270" s="55">
        <f t="shared" si="43"/>
        <v>749.4484932</v>
      </c>
      <c r="AA270" s="57">
        <f t="shared" si="44"/>
        <v>1227.618493</v>
      </c>
      <c r="AB270" s="5"/>
      <c r="AC270" s="42">
        <f t="shared" si="6"/>
        <v>0</v>
      </c>
      <c r="AD270" s="3">
        <f t="shared" si="7"/>
        <v>1</v>
      </c>
      <c r="AE270" s="3">
        <f t="shared" si="8"/>
        <v>0</v>
      </c>
      <c r="AF270" s="43">
        <f t="shared" si="9"/>
        <v>0</v>
      </c>
      <c r="AG270" s="44">
        <f t="shared" si="10"/>
        <v>0</v>
      </c>
      <c r="AH270" s="45">
        <f t="shared" si="11"/>
        <v>0</v>
      </c>
      <c r="AI270" s="46">
        <f t="shared" si="12"/>
        <v>0</v>
      </c>
      <c r="AJ270" s="47">
        <f t="shared" si="13"/>
        <v>0</v>
      </c>
      <c r="AK270" s="5"/>
      <c r="AL270" s="42">
        <f t="shared" si="14"/>
        <v>1</v>
      </c>
      <c r="AM270" s="3">
        <f t="shared" si="15"/>
        <v>1</v>
      </c>
      <c r="AN270" s="3">
        <f t="shared" si="16"/>
        <v>1</v>
      </c>
      <c r="AO270" s="3">
        <f t="shared" si="17"/>
        <v>1243.09</v>
      </c>
      <c r="AP270" s="44">
        <f t="shared" si="18"/>
        <v>17879</v>
      </c>
      <c r="AQ270" s="48">
        <f t="shared" si="19"/>
        <v>0</v>
      </c>
      <c r="AR270" s="46">
        <f t="shared" si="20"/>
        <v>0.003136364343</v>
      </c>
      <c r="AS270" s="47">
        <f t="shared" si="21"/>
        <v>0.0004121900923</v>
      </c>
      <c r="AT270" s="5"/>
      <c r="AU270" s="49">
        <f t="shared" si="27"/>
        <v>17879</v>
      </c>
      <c r="AV270" s="50">
        <f t="shared" si="23"/>
        <v>1</v>
      </c>
      <c r="AW270" s="51">
        <f t="shared" si="24"/>
        <v>0.001734677546</v>
      </c>
      <c r="AX270" s="52">
        <f t="shared" si="25"/>
        <v>0.0002279763509</v>
      </c>
      <c r="AY270" s="5"/>
      <c r="AZ270" s="53">
        <f t="shared" si="26"/>
        <v>1</v>
      </c>
      <c r="BA270" s="5"/>
      <c r="BB270" s="5"/>
      <c r="BC270" s="5"/>
    </row>
    <row r="271" ht="12.75" customHeight="1">
      <c r="A271" s="25"/>
      <c r="B271" s="27" t="s">
        <v>500</v>
      </c>
      <c r="C271" s="27"/>
      <c r="D271" s="28">
        <v>11379.0</v>
      </c>
      <c r="E271" s="29" t="s">
        <v>39</v>
      </c>
      <c r="F271" s="30">
        <v>41729.0</v>
      </c>
      <c r="G271" s="30" t="s">
        <v>40</v>
      </c>
      <c r="H271" s="30">
        <v>41729.0</v>
      </c>
      <c r="I271" s="32">
        <f t="shared" si="1"/>
        <v>0</v>
      </c>
      <c r="J271" s="33" t="s">
        <v>501</v>
      </c>
      <c r="K271" s="116">
        <v>10000.0</v>
      </c>
      <c r="L271" s="115">
        <v>611.92</v>
      </c>
      <c r="M271" s="35">
        <v>1613.55</v>
      </c>
      <c r="N271" s="35">
        <v>106.61</v>
      </c>
      <c r="O271" s="35">
        <f t="shared" si="65"/>
        <v>1379</v>
      </c>
      <c r="P271" s="35">
        <f t="shared" si="3"/>
        <v>3711.08</v>
      </c>
      <c r="Q271" s="36">
        <f t="shared" si="4"/>
        <v>0.3261341067</v>
      </c>
      <c r="R271" s="36">
        <f t="shared" si="5"/>
        <v>0.6738658933</v>
      </c>
      <c r="S271" s="37"/>
      <c r="T271" s="5"/>
      <c r="U271" s="54">
        <v>64.79</v>
      </c>
      <c r="V271" s="55">
        <v>628.05</v>
      </c>
      <c r="W271" s="55">
        <f t="shared" si="62"/>
        <v>692.84</v>
      </c>
      <c r="X271" s="56">
        <v>0.0975</v>
      </c>
      <c r="Y271" s="55">
        <f t="shared" si="63"/>
        <v>547.1272603</v>
      </c>
      <c r="Z271" s="55">
        <f t="shared" si="43"/>
        <v>547.1272603</v>
      </c>
      <c r="AA271" s="57">
        <f t="shared" si="44"/>
        <v>611.9172603</v>
      </c>
      <c r="AB271" s="5"/>
      <c r="AC271" s="42">
        <f t="shared" si="6"/>
        <v>0</v>
      </c>
      <c r="AD271" s="3">
        <f t="shared" si="7"/>
        <v>1</v>
      </c>
      <c r="AE271" s="3">
        <f t="shared" si="8"/>
        <v>0</v>
      </c>
      <c r="AF271" s="43">
        <f t="shared" si="9"/>
        <v>0</v>
      </c>
      <c r="AG271" s="44">
        <f t="shared" si="10"/>
        <v>0</v>
      </c>
      <c r="AH271" s="45">
        <f t="shared" si="11"/>
        <v>0</v>
      </c>
      <c r="AI271" s="46">
        <f t="shared" si="12"/>
        <v>0</v>
      </c>
      <c r="AJ271" s="47">
        <f t="shared" si="13"/>
        <v>0</v>
      </c>
      <c r="AK271" s="5"/>
      <c r="AL271" s="42">
        <f t="shared" si="14"/>
        <v>1</v>
      </c>
      <c r="AM271" s="3">
        <f t="shared" si="15"/>
        <v>1</v>
      </c>
      <c r="AN271" s="3">
        <f t="shared" si="16"/>
        <v>1</v>
      </c>
      <c r="AO271" s="3">
        <f t="shared" si="17"/>
        <v>1720.16</v>
      </c>
      <c r="AP271" s="44">
        <f t="shared" si="18"/>
        <v>11379</v>
      </c>
      <c r="AQ271" s="48">
        <f t="shared" si="19"/>
        <v>0</v>
      </c>
      <c r="AR271" s="46">
        <f t="shared" si="20"/>
        <v>0.001996123377</v>
      </c>
      <c r="AS271" s="47">
        <f t="shared" si="21"/>
        <v>0.0006510039145</v>
      </c>
      <c r="AT271" s="5"/>
      <c r="AU271" s="49">
        <f t="shared" si="27"/>
        <v>11379</v>
      </c>
      <c r="AV271" s="50">
        <f t="shared" si="23"/>
        <v>1</v>
      </c>
      <c r="AW271" s="51">
        <f t="shared" si="24"/>
        <v>0.001104026836</v>
      </c>
      <c r="AX271" s="52">
        <f t="shared" si="25"/>
        <v>0.0003600608059</v>
      </c>
      <c r="AY271" s="5"/>
      <c r="AZ271" s="53">
        <f t="shared" si="26"/>
        <v>1</v>
      </c>
      <c r="BA271" s="5"/>
      <c r="BB271" s="5"/>
      <c r="BC271" s="5"/>
    </row>
    <row r="272" ht="12.75" customHeight="1">
      <c r="A272" s="25"/>
      <c r="B272" s="27" t="s">
        <v>502</v>
      </c>
      <c r="C272" s="27"/>
      <c r="D272" s="28">
        <v>21366.62</v>
      </c>
      <c r="E272" s="29" t="s">
        <v>49</v>
      </c>
      <c r="F272" s="30">
        <v>41729.0</v>
      </c>
      <c r="G272" s="30" t="s">
        <v>40</v>
      </c>
      <c r="H272" s="30">
        <v>41729.0</v>
      </c>
      <c r="I272" s="32">
        <f t="shared" si="1"/>
        <v>0</v>
      </c>
      <c r="J272" s="33" t="s">
        <v>503</v>
      </c>
      <c r="K272" s="116">
        <v>28000.0</v>
      </c>
      <c r="L272" s="115">
        <v>1001.46</v>
      </c>
      <c r="M272" s="35">
        <v>0.0</v>
      </c>
      <c r="N272" s="35">
        <v>0.0</v>
      </c>
      <c r="O272" s="35">
        <f t="shared" si="65"/>
        <v>0</v>
      </c>
      <c r="P272" s="35">
        <f t="shared" si="3"/>
        <v>0</v>
      </c>
      <c r="Q272" s="36">
        <f t="shared" si="4"/>
        <v>0</v>
      </c>
      <c r="R272" s="36">
        <f t="shared" si="5"/>
        <v>1</v>
      </c>
      <c r="S272" s="37"/>
      <c r="T272" s="5"/>
      <c r="U272" s="54">
        <v>64.72</v>
      </c>
      <c r="V272" s="55">
        <v>894.64</v>
      </c>
      <c r="W272" s="55">
        <f t="shared" si="62"/>
        <v>959.36</v>
      </c>
      <c r="X272" s="56">
        <v>0.0889</v>
      </c>
      <c r="Y272" s="55">
        <f t="shared" si="63"/>
        <v>936.7360363</v>
      </c>
      <c r="Z272" s="55">
        <f t="shared" si="43"/>
        <v>936.7360363</v>
      </c>
      <c r="AA272" s="57">
        <f t="shared" si="44"/>
        <v>1001.456036</v>
      </c>
      <c r="AB272" s="5"/>
      <c r="AC272" s="42">
        <f t="shared" si="6"/>
        <v>1</v>
      </c>
      <c r="AD272" s="3">
        <f t="shared" si="7"/>
        <v>1</v>
      </c>
      <c r="AE272" s="3">
        <f t="shared" si="8"/>
        <v>1</v>
      </c>
      <c r="AF272" s="43">
        <f t="shared" si="9"/>
        <v>0</v>
      </c>
      <c r="AG272" s="44">
        <f t="shared" si="10"/>
        <v>21366.62</v>
      </c>
      <c r="AH272" s="45">
        <f t="shared" si="11"/>
        <v>0</v>
      </c>
      <c r="AI272" s="46">
        <f t="shared" si="12"/>
        <v>0.004623801815</v>
      </c>
      <c r="AJ272" s="47">
        <f t="shared" si="13"/>
        <v>0</v>
      </c>
      <c r="AK272" s="5"/>
      <c r="AL272" s="42">
        <f t="shared" si="14"/>
        <v>0</v>
      </c>
      <c r="AM272" s="3">
        <f t="shared" si="15"/>
        <v>1</v>
      </c>
      <c r="AN272" s="3">
        <f t="shared" si="16"/>
        <v>0</v>
      </c>
      <c r="AO272" s="3">
        <f t="shared" si="17"/>
        <v>0</v>
      </c>
      <c r="AP272" s="44">
        <f t="shared" si="18"/>
        <v>0</v>
      </c>
      <c r="AQ272" s="48">
        <f t="shared" si="19"/>
        <v>0</v>
      </c>
      <c r="AR272" s="46">
        <f t="shared" si="20"/>
        <v>0</v>
      </c>
      <c r="AS272" s="47">
        <f t="shared" si="21"/>
        <v>0</v>
      </c>
      <c r="AT272" s="5"/>
      <c r="AU272" s="49">
        <f t="shared" si="27"/>
        <v>21366.62</v>
      </c>
      <c r="AV272" s="50">
        <f t="shared" si="23"/>
        <v>1</v>
      </c>
      <c r="AW272" s="51">
        <f t="shared" si="24"/>
        <v>0.002073057551</v>
      </c>
      <c r="AX272" s="52">
        <f t="shared" si="25"/>
        <v>0</v>
      </c>
      <c r="AY272" s="5"/>
      <c r="AZ272" s="53">
        <f t="shared" si="26"/>
        <v>1</v>
      </c>
      <c r="BA272" s="5"/>
      <c r="BB272" s="5"/>
      <c r="BC272" s="5"/>
    </row>
    <row r="273" ht="12.75" customHeight="1">
      <c r="A273" s="25"/>
      <c r="B273" s="27" t="s">
        <v>504</v>
      </c>
      <c r="C273" s="27"/>
      <c r="D273" s="28">
        <v>49510.41</v>
      </c>
      <c r="E273" s="29" t="s">
        <v>49</v>
      </c>
      <c r="F273" s="30">
        <v>41729.0</v>
      </c>
      <c r="G273" s="30" t="s">
        <v>40</v>
      </c>
      <c r="H273" s="30">
        <v>41759.0</v>
      </c>
      <c r="I273" s="32">
        <f t="shared" si="1"/>
        <v>1</v>
      </c>
      <c r="J273" s="33" t="s">
        <v>505</v>
      </c>
      <c r="K273" s="34">
        <v>61000.0</v>
      </c>
      <c r="L273" s="115">
        <v>2790.62</v>
      </c>
      <c r="M273" s="35">
        <v>5740.01</v>
      </c>
      <c r="N273" s="35">
        <v>7.18</v>
      </c>
      <c r="O273" s="35">
        <f t="shared" si="65"/>
        <v>0</v>
      </c>
      <c r="P273" s="35">
        <f t="shared" si="3"/>
        <v>0</v>
      </c>
      <c r="Q273" s="36">
        <f t="shared" si="4"/>
        <v>0</v>
      </c>
      <c r="R273" s="36">
        <f t="shared" si="5"/>
        <v>1</v>
      </c>
      <c r="S273" s="37"/>
      <c r="T273" s="5"/>
      <c r="U273" s="54">
        <v>898.37</v>
      </c>
      <c r="V273" s="55">
        <v>8767.34</v>
      </c>
      <c r="W273" s="55">
        <f t="shared" si="62"/>
        <v>9665.71</v>
      </c>
      <c r="X273" s="56">
        <v>0.0775</v>
      </c>
      <c r="Y273" s="55">
        <f t="shared" si="63"/>
        <v>1892.247177</v>
      </c>
      <c r="Z273" s="55">
        <f t="shared" si="43"/>
        <v>1892.247177</v>
      </c>
      <c r="AA273" s="57">
        <f t="shared" si="44"/>
        <v>2790.617177</v>
      </c>
      <c r="AB273" s="5"/>
      <c r="AC273" s="42">
        <f t="shared" si="6"/>
        <v>1</v>
      </c>
      <c r="AD273" s="3">
        <f t="shared" si="7"/>
        <v>1</v>
      </c>
      <c r="AE273" s="3">
        <f t="shared" si="8"/>
        <v>1</v>
      </c>
      <c r="AF273" s="43">
        <f t="shared" si="9"/>
        <v>5747.19</v>
      </c>
      <c r="AG273" s="44">
        <f t="shared" si="10"/>
        <v>49510.41</v>
      </c>
      <c r="AH273" s="45">
        <f t="shared" si="11"/>
        <v>1</v>
      </c>
      <c r="AI273" s="46">
        <f t="shared" si="12"/>
        <v>0.01071420391</v>
      </c>
      <c r="AJ273" s="47">
        <f t="shared" si="13"/>
        <v>0</v>
      </c>
      <c r="AK273" s="5"/>
      <c r="AL273" s="42">
        <f t="shared" si="14"/>
        <v>0</v>
      </c>
      <c r="AM273" s="3">
        <f t="shared" si="15"/>
        <v>1</v>
      </c>
      <c r="AN273" s="3">
        <f t="shared" si="16"/>
        <v>0</v>
      </c>
      <c r="AO273" s="3">
        <f t="shared" si="17"/>
        <v>0</v>
      </c>
      <c r="AP273" s="44">
        <f t="shared" si="18"/>
        <v>0</v>
      </c>
      <c r="AQ273" s="48">
        <f t="shared" si="19"/>
        <v>0</v>
      </c>
      <c r="AR273" s="46">
        <f t="shared" si="20"/>
        <v>0</v>
      </c>
      <c r="AS273" s="47">
        <f t="shared" si="21"/>
        <v>0</v>
      </c>
      <c r="AT273" s="5"/>
      <c r="AU273" s="49">
        <f t="shared" si="27"/>
        <v>49510.41</v>
      </c>
      <c r="AV273" s="50">
        <f t="shared" si="23"/>
        <v>1</v>
      </c>
      <c r="AW273" s="51">
        <f t="shared" si="24"/>
        <v>0.004803657729</v>
      </c>
      <c r="AX273" s="52">
        <f t="shared" si="25"/>
        <v>0</v>
      </c>
      <c r="AY273" s="5"/>
      <c r="AZ273" s="53">
        <f t="shared" si="26"/>
        <v>1</v>
      </c>
      <c r="BA273" s="5"/>
      <c r="BB273" s="5"/>
      <c r="BC273" s="5"/>
    </row>
    <row r="274" ht="12.75" customHeight="1">
      <c r="A274" s="69"/>
      <c r="B274" s="27" t="s">
        <v>506</v>
      </c>
      <c r="C274" s="27"/>
      <c r="D274" s="28">
        <v>34485.52</v>
      </c>
      <c r="E274" s="29" t="s">
        <v>49</v>
      </c>
      <c r="F274" s="30">
        <v>41729.0</v>
      </c>
      <c r="G274" s="30" t="s">
        <v>40</v>
      </c>
      <c r="H274" s="30">
        <v>41820.0</v>
      </c>
      <c r="I274" s="32">
        <f t="shared" si="1"/>
        <v>3.033333333</v>
      </c>
      <c r="J274" s="33" t="s">
        <v>507</v>
      </c>
      <c r="K274" s="34">
        <v>35000.0</v>
      </c>
      <c r="L274" s="115">
        <v>1318.01</v>
      </c>
      <c r="M274" s="35">
        <v>5423.92</v>
      </c>
      <c r="N274" s="35">
        <v>0.0</v>
      </c>
      <c r="O274" s="35">
        <f t="shared" si="65"/>
        <v>0</v>
      </c>
      <c r="P274" s="35">
        <f t="shared" si="3"/>
        <v>6227.45</v>
      </c>
      <c r="Q274" s="36">
        <f t="shared" si="4"/>
        <v>0.180581589</v>
      </c>
      <c r="R274" s="36">
        <f t="shared" si="5"/>
        <v>0.819418411</v>
      </c>
      <c r="S274" s="37"/>
      <c r="T274" s="5"/>
      <c r="U274" s="54">
        <v>0.0</v>
      </c>
      <c r="V274" s="55">
        <v>1887.11</v>
      </c>
      <c r="W274" s="55">
        <f t="shared" si="62"/>
        <v>1887.11</v>
      </c>
      <c r="X274" s="56">
        <v>0.0775</v>
      </c>
      <c r="Y274" s="55">
        <f t="shared" si="63"/>
        <v>1318.00823</v>
      </c>
      <c r="Z274" s="55">
        <f t="shared" si="43"/>
        <v>1318.00823</v>
      </c>
      <c r="AA274" s="57">
        <f t="shared" si="44"/>
        <v>1318.00823</v>
      </c>
      <c r="AB274" s="5"/>
      <c r="AC274" s="42">
        <f t="shared" si="6"/>
        <v>1</v>
      </c>
      <c r="AD274" s="3">
        <f t="shared" si="7"/>
        <v>1</v>
      </c>
      <c r="AE274" s="3">
        <f t="shared" si="8"/>
        <v>1</v>
      </c>
      <c r="AF274" s="43">
        <f t="shared" si="9"/>
        <v>5423.92</v>
      </c>
      <c r="AG274" s="44">
        <f t="shared" si="10"/>
        <v>34485.52</v>
      </c>
      <c r="AH274" s="45">
        <f t="shared" si="11"/>
        <v>3.033333333</v>
      </c>
      <c r="AI274" s="46">
        <f t="shared" si="12"/>
        <v>0.007462771836</v>
      </c>
      <c r="AJ274" s="47">
        <f t="shared" si="13"/>
        <v>0.001347639197</v>
      </c>
      <c r="AK274" s="5"/>
      <c r="AL274" s="42">
        <f t="shared" si="14"/>
        <v>0</v>
      </c>
      <c r="AM274" s="3">
        <f t="shared" si="15"/>
        <v>1</v>
      </c>
      <c r="AN274" s="3">
        <f t="shared" si="16"/>
        <v>0</v>
      </c>
      <c r="AO274" s="3">
        <f t="shared" si="17"/>
        <v>0</v>
      </c>
      <c r="AP274" s="44">
        <f t="shared" si="18"/>
        <v>0</v>
      </c>
      <c r="AQ274" s="48">
        <f t="shared" si="19"/>
        <v>0</v>
      </c>
      <c r="AR274" s="46">
        <f t="shared" si="20"/>
        <v>0</v>
      </c>
      <c r="AS274" s="47">
        <f t="shared" si="21"/>
        <v>0</v>
      </c>
      <c r="AT274" s="5"/>
      <c r="AU274" s="49">
        <f t="shared" si="27"/>
        <v>34485.52</v>
      </c>
      <c r="AV274" s="50">
        <f t="shared" si="23"/>
        <v>1</v>
      </c>
      <c r="AW274" s="51">
        <f t="shared" si="24"/>
        <v>0.003345895029</v>
      </c>
      <c r="AX274" s="52">
        <f t="shared" si="25"/>
        <v>0.000604207041</v>
      </c>
      <c r="AY274" s="5"/>
      <c r="AZ274" s="53">
        <f t="shared" si="26"/>
        <v>1</v>
      </c>
      <c r="BA274" s="5"/>
      <c r="BB274" s="5"/>
      <c r="BC274" s="5"/>
    </row>
    <row r="275" ht="12.75" customHeight="1">
      <c r="A275" s="25"/>
      <c r="B275" s="27" t="s">
        <v>508</v>
      </c>
      <c r="C275" s="27"/>
      <c r="D275" s="28">
        <v>21000.0</v>
      </c>
      <c r="E275" s="29" t="s">
        <v>49</v>
      </c>
      <c r="F275" s="30">
        <v>41759.0</v>
      </c>
      <c r="G275" s="30" t="s">
        <v>40</v>
      </c>
      <c r="H275" s="30">
        <v>41820.0</v>
      </c>
      <c r="I275" s="32">
        <f t="shared" si="1"/>
        <v>2.033333333</v>
      </c>
      <c r="J275" s="33" t="s">
        <v>509</v>
      </c>
      <c r="K275" s="34">
        <v>19000.0</v>
      </c>
      <c r="L275" s="115">
        <v>1084.09</v>
      </c>
      <c r="M275" s="35">
        <v>2271.79</v>
      </c>
      <c r="N275" s="35">
        <v>124.52</v>
      </c>
      <c r="O275" s="35">
        <f t="shared" si="65"/>
        <v>2000</v>
      </c>
      <c r="P275" s="35">
        <f t="shared" si="3"/>
        <v>5480.4</v>
      </c>
      <c r="Q275" s="36">
        <f t="shared" si="4"/>
        <v>0.2609714286</v>
      </c>
      <c r="R275" s="36">
        <f t="shared" si="5"/>
        <v>0.7390285714</v>
      </c>
      <c r="S275" s="37"/>
      <c r="T275" s="5"/>
      <c r="U275" s="54">
        <v>281.49</v>
      </c>
      <c r="V275" s="55">
        <v>1003.17</v>
      </c>
      <c r="W275" s="55">
        <f t="shared" si="62"/>
        <v>1284.66</v>
      </c>
      <c r="X275" s="56">
        <v>0.0775</v>
      </c>
      <c r="Y275" s="55">
        <f t="shared" si="63"/>
        <v>802.6027397</v>
      </c>
      <c r="Z275" s="55">
        <f t="shared" si="43"/>
        <v>802.6027397</v>
      </c>
      <c r="AA275" s="57">
        <f t="shared" si="44"/>
        <v>1084.09274</v>
      </c>
      <c r="AB275" s="5"/>
      <c r="AC275" s="42">
        <f t="shared" si="6"/>
        <v>1</v>
      </c>
      <c r="AD275" s="3">
        <f t="shared" si="7"/>
        <v>1</v>
      </c>
      <c r="AE275" s="3">
        <f t="shared" si="8"/>
        <v>1</v>
      </c>
      <c r="AF275" s="43">
        <f t="shared" si="9"/>
        <v>2396.31</v>
      </c>
      <c r="AG275" s="44">
        <f t="shared" si="10"/>
        <v>21000</v>
      </c>
      <c r="AH275" s="45">
        <f t="shared" si="11"/>
        <v>2.033333333</v>
      </c>
      <c r="AI275" s="46">
        <f t="shared" si="12"/>
        <v>0.004544464128</v>
      </c>
      <c r="AJ275" s="47">
        <f t="shared" si="13"/>
        <v>0.001185975295</v>
      </c>
      <c r="AK275" s="5"/>
      <c r="AL275" s="42">
        <f t="shared" si="14"/>
        <v>0</v>
      </c>
      <c r="AM275" s="3">
        <f t="shared" si="15"/>
        <v>1</v>
      </c>
      <c r="AN275" s="3">
        <f t="shared" si="16"/>
        <v>0</v>
      </c>
      <c r="AO275" s="3">
        <f t="shared" si="17"/>
        <v>0</v>
      </c>
      <c r="AP275" s="44">
        <f t="shared" si="18"/>
        <v>0</v>
      </c>
      <c r="AQ275" s="48">
        <f t="shared" si="19"/>
        <v>0</v>
      </c>
      <c r="AR275" s="46">
        <f t="shared" si="20"/>
        <v>0</v>
      </c>
      <c r="AS275" s="47">
        <f t="shared" si="21"/>
        <v>0</v>
      </c>
      <c r="AT275" s="5"/>
      <c r="AU275" s="49">
        <f t="shared" si="27"/>
        <v>21000</v>
      </c>
      <c r="AV275" s="50">
        <f t="shared" si="23"/>
        <v>1</v>
      </c>
      <c r="AW275" s="51">
        <f t="shared" si="24"/>
        <v>0.002037486911</v>
      </c>
      <c r="AX275" s="52">
        <f t="shared" si="25"/>
        <v>0.0005317258697</v>
      </c>
      <c r="AY275" s="5"/>
      <c r="AZ275" s="53">
        <f t="shared" si="26"/>
        <v>1</v>
      </c>
      <c r="BA275" s="5"/>
      <c r="BB275" s="5"/>
      <c r="BC275" s="5"/>
    </row>
    <row r="276" ht="12.75" customHeight="1">
      <c r="A276" s="25"/>
      <c r="B276" s="27" t="s">
        <v>510</v>
      </c>
      <c r="C276" s="27"/>
      <c r="D276" s="28">
        <v>14733.74</v>
      </c>
      <c r="E276" s="29" t="s">
        <v>49</v>
      </c>
      <c r="F276" s="30">
        <v>41789.0</v>
      </c>
      <c r="G276" s="30" t="s">
        <v>40</v>
      </c>
      <c r="H276" s="30">
        <v>41820.0</v>
      </c>
      <c r="I276" s="32">
        <f t="shared" si="1"/>
        <v>1.033333333</v>
      </c>
      <c r="J276" s="33" t="s">
        <v>511</v>
      </c>
      <c r="K276" s="34">
        <v>8500.0</v>
      </c>
      <c r="L276" s="115">
        <v>1115.94</v>
      </c>
      <c r="M276" s="35">
        <v>969.2</v>
      </c>
      <c r="N276" s="35">
        <v>210.34</v>
      </c>
      <c r="O276" s="35">
        <f t="shared" si="65"/>
        <v>6233.74</v>
      </c>
      <c r="P276" s="35">
        <f t="shared" si="3"/>
        <v>8529.22</v>
      </c>
      <c r="Q276" s="36">
        <f t="shared" si="4"/>
        <v>0.5788903564</v>
      </c>
      <c r="R276" s="36">
        <f t="shared" si="5"/>
        <v>0.4211096436</v>
      </c>
      <c r="S276" s="37"/>
      <c r="T276" s="5"/>
      <c r="U276" s="54">
        <v>389.34</v>
      </c>
      <c r="V276" s="55">
        <v>2467.59</v>
      </c>
      <c r="W276" s="55">
        <f t="shared" si="62"/>
        <v>2856.93</v>
      </c>
      <c r="X276" s="56">
        <v>0.1</v>
      </c>
      <c r="Y276" s="55">
        <f t="shared" si="63"/>
        <v>726.5953973</v>
      </c>
      <c r="Z276" s="55">
        <f t="shared" si="43"/>
        <v>726.5953973</v>
      </c>
      <c r="AA276" s="57">
        <f t="shared" si="44"/>
        <v>1115.935397</v>
      </c>
      <c r="AB276" s="5"/>
      <c r="AC276" s="42">
        <f t="shared" si="6"/>
        <v>1</v>
      </c>
      <c r="AD276" s="3">
        <f t="shared" si="7"/>
        <v>1</v>
      </c>
      <c r="AE276" s="3">
        <f t="shared" si="8"/>
        <v>1</v>
      </c>
      <c r="AF276" s="43">
        <f t="shared" si="9"/>
        <v>1179.54</v>
      </c>
      <c r="AG276" s="44">
        <f t="shared" si="10"/>
        <v>14733.74</v>
      </c>
      <c r="AH276" s="45">
        <f t="shared" si="11"/>
        <v>1.033333333</v>
      </c>
      <c r="AI276" s="46">
        <f t="shared" si="12"/>
        <v>0.003188426328</v>
      </c>
      <c r="AJ276" s="47">
        <f t="shared" si="13"/>
        <v>0.001845749254</v>
      </c>
      <c r="AK276" s="5"/>
      <c r="AL276" s="42">
        <f t="shared" si="14"/>
        <v>0</v>
      </c>
      <c r="AM276" s="3">
        <f t="shared" si="15"/>
        <v>1</v>
      </c>
      <c r="AN276" s="3">
        <f t="shared" si="16"/>
        <v>0</v>
      </c>
      <c r="AO276" s="3">
        <f t="shared" si="17"/>
        <v>0</v>
      </c>
      <c r="AP276" s="44">
        <f t="shared" si="18"/>
        <v>0</v>
      </c>
      <c r="AQ276" s="48">
        <f t="shared" si="19"/>
        <v>0</v>
      </c>
      <c r="AR276" s="46">
        <f t="shared" si="20"/>
        <v>0</v>
      </c>
      <c r="AS276" s="47">
        <f t="shared" si="21"/>
        <v>0</v>
      </c>
      <c r="AT276" s="5"/>
      <c r="AU276" s="49">
        <f t="shared" si="27"/>
        <v>14733.74</v>
      </c>
      <c r="AV276" s="50">
        <f t="shared" si="23"/>
        <v>1</v>
      </c>
      <c r="AW276" s="51">
        <f t="shared" si="24"/>
        <v>0.0014295144</v>
      </c>
      <c r="AX276" s="52">
        <f t="shared" si="25"/>
        <v>0.0008275321003</v>
      </c>
      <c r="AY276" s="5"/>
      <c r="AZ276" s="53">
        <f t="shared" si="26"/>
        <v>1</v>
      </c>
      <c r="BA276" s="5"/>
      <c r="BB276" s="5"/>
      <c r="BC276" s="5"/>
    </row>
    <row r="277" ht="12.75" customHeight="1">
      <c r="A277" s="25"/>
      <c r="B277" s="27" t="s">
        <v>512</v>
      </c>
      <c r="C277" s="27"/>
      <c r="D277" s="28">
        <v>17135.48</v>
      </c>
      <c r="E277" s="29" t="s">
        <v>49</v>
      </c>
      <c r="F277" s="30">
        <v>41789.0</v>
      </c>
      <c r="G277" s="30" t="s">
        <v>40</v>
      </c>
      <c r="H277" s="30">
        <v>41851.0</v>
      </c>
      <c r="I277" s="32">
        <f t="shared" si="1"/>
        <v>2.066666667</v>
      </c>
      <c r="J277" s="33" t="s">
        <v>513</v>
      </c>
      <c r="K277" s="34">
        <v>21000.0</v>
      </c>
      <c r="L277" s="115">
        <v>960.55</v>
      </c>
      <c r="M277" s="35">
        <v>2214.64</v>
      </c>
      <c r="N277" s="35">
        <v>18.96</v>
      </c>
      <c r="O277" s="35">
        <f t="shared" si="65"/>
        <v>0</v>
      </c>
      <c r="P277" s="35">
        <f t="shared" si="3"/>
        <v>0</v>
      </c>
      <c r="Q277" s="36">
        <f t="shared" si="4"/>
        <v>0</v>
      </c>
      <c r="R277" s="36">
        <f t="shared" si="5"/>
        <v>1</v>
      </c>
      <c r="S277" s="37"/>
      <c r="T277" s="5"/>
      <c r="U277" s="54">
        <v>136.64</v>
      </c>
      <c r="V277" s="55">
        <v>1138.06</v>
      </c>
      <c r="W277" s="55">
        <f t="shared" si="62"/>
        <v>1274.7</v>
      </c>
      <c r="X277" s="56">
        <v>0.0975</v>
      </c>
      <c r="Y277" s="55">
        <f t="shared" si="63"/>
        <v>823.9114356</v>
      </c>
      <c r="Z277" s="55">
        <f t="shared" si="43"/>
        <v>823.9114356</v>
      </c>
      <c r="AA277" s="57">
        <f t="shared" si="44"/>
        <v>960.5514356</v>
      </c>
      <c r="AB277" s="5"/>
      <c r="AC277" s="42">
        <f t="shared" si="6"/>
        <v>1</v>
      </c>
      <c r="AD277" s="3">
        <f t="shared" si="7"/>
        <v>1</v>
      </c>
      <c r="AE277" s="3">
        <f t="shared" si="8"/>
        <v>1</v>
      </c>
      <c r="AF277" s="43">
        <f t="shared" si="9"/>
        <v>2233.6</v>
      </c>
      <c r="AG277" s="44">
        <f t="shared" si="10"/>
        <v>17135.48</v>
      </c>
      <c r="AH277" s="45">
        <f t="shared" si="11"/>
        <v>2.066666667</v>
      </c>
      <c r="AI277" s="46">
        <f t="shared" si="12"/>
        <v>0.003708170199</v>
      </c>
      <c r="AJ277" s="47">
        <f t="shared" si="13"/>
        <v>0</v>
      </c>
      <c r="AK277" s="5"/>
      <c r="AL277" s="42">
        <f t="shared" si="14"/>
        <v>0</v>
      </c>
      <c r="AM277" s="3">
        <f t="shared" si="15"/>
        <v>1</v>
      </c>
      <c r="AN277" s="3">
        <f t="shared" si="16"/>
        <v>0</v>
      </c>
      <c r="AO277" s="3">
        <f t="shared" si="17"/>
        <v>0</v>
      </c>
      <c r="AP277" s="44">
        <f t="shared" si="18"/>
        <v>0</v>
      </c>
      <c r="AQ277" s="48">
        <f t="shared" si="19"/>
        <v>0</v>
      </c>
      <c r="AR277" s="46">
        <f t="shared" si="20"/>
        <v>0</v>
      </c>
      <c r="AS277" s="47">
        <f t="shared" si="21"/>
        <v>0</v>
      </c>
      <c r="AT277" s="5"/>
      <c r="AU277" s="49">
        <f t="shared" si="27"/>
        <v>17135.48</v>
      </c>
      <c r="AV277" s="50">
        <f t="shared" si="23"/>
        <v>1</v>
      </c>
      <c r="AW277" s="51">
        <f t="shared" si="24"/>
        <v>0.001662538867</v>
      </c>
      <c r="AX277" s="52">
        <f t="shared" si="25"/>
        <v>0</v>
      </c>
      <c r="AY277" s="5"/>
      <c r="AZ277" s="53">
        <f t="shared" si="26"/>
        <v>1</v>
      </c>
      <c r="BA277" s="5"/>
      <c r="BB277" s="5"/>
      <c r="BC277" s="5"/>
    </row>
    <row r="278" ht="12.75" customHeight="1">
      <c r="A278" s="25"/>
      <c r="B278" s="27" t="s">
        <v>514</v>
      </c>
      <c r="C278" s="27"/>
      <c r="D278" s="28">
        <v>61631.6</v>
      </c>
      <c r="E278" s="29" t="s">
        <v>49</v>
      </c>
      <c r="F278" s="30">
        <v>41789.0</v>
      </c>
      <c r="G278" s="30" t="s">
        <v>40</v>
      </c>
      <c r="H278" s="30">
        <v>42152.0</v>
      </c>
      <c r="I278" s="32">
        <f t="shared" si="1"/>
        <v>12.1</v>
      </c>
      <c r="J278" s="33" t="s">
        <v>129</v>
      </c>
      <c r="K278" s="34">
        <v>55000.0</v>
      </c>
      <c r="L278" s="115">
        <v>2272.18</v>
      </c>
      <c r="M278" s="35">
        <v>1702.68</v>
      </c>
      <c r="N278" s="35">
        <v>857.38</v>
      </c>
      <c r="O278" s="35">
        <f t="shared" si="65"/>
        <v>6631.6</v>
      </c>
      <c r="P278" s="35">
        <f t="shared" si="3"/>
        <v>11463.84</v>
      </c>
      <c r="Q278" s="36">
        <f t="shared" si="4"/>
        <v>0.1860058801</v>
      </c>
      <c r="R278" s="36">
        <f t="shared" si="5"/>
        <v>0.8139941199</v>
      </c>
      <c r="S278" s="37"/>
      <c r="T278" s="5"/>
      <c r="U278" s="54">
        <v>50.4</v>
      </c>
      <c r="V278" s="55">
        <v>2648.87</v>
      </c>
      <c r="W278" s="55">
        <f t="shared" si="62"/>
        <v>2699.27</v>
      </c>
      <c r="X278" s="56">
        <v>0.0731</v>
      </c>
      <c r="Y278" s="55">
        <f t="shared" si="63"/>
        <v>2221.776967</v>
      </c>
      <c r="Z278" s="55">
        <f t="shared" si="43"/>
        <v>2221.776967</v>
      </c>
      <c r="AA278" s="57">
        <f t="shared" si="44"/>
        <v>2272.176967</v>
      </c>
      <c r="AB278" s="5"/>
      <c r="AC278" s="42">
        <f t="shared" si="6"/>
        <v>1</v>
      </c>
      <c r="AD278" s="3">
        <f t="shared" si="7"/>
        <v>1</v>
      </c>
      <c r="AE278" s="3">
        <f t="shared" si="8"/>
        <v>1</v>
      </c>
      <c r="AF278" s="43">
        <f t="shared" si="9"/>
        <v>2560.06</v>
      </c>
      <c r="AG278" s="44">
        <f t="shared" si="10"/>
        <v>61631.6</v>
      </c>
      <c r="AH278" s="45">
        <f t="shared" si="11"/>
        <v>12.1</v>
      </c>
      <c r="AI278" s="46">
        <f t="shared" si="12"/>
        <v>0.01333726644</v>
      </c>
      <c r="AJ278" s="47">
        <f t="shared" si="13"/>
        <v>0.002480809983</v>
      </c>
      <c r="AK278" s="5"/>
      <c r="AL278" s="42">
        <f t="shared" si="14"/>
        <v>0</v>
      </c>
      <c r="AM278" s="3">
        <f t="shared" si="15"/>
        <v>1</v>
      </c>
      <c r="AN278" s="3">
        <f t="shared" si="16"/>
        <v>0</v>
      </c>
      <c r="AO278" s="3">
        <f t="shared" si="17"/>
        <v>0</v>
      </c>
      <c r="AP278" s="44">
        <f t="shared" si="18"/>
        <v>0</v>
      </c>
      <c r="AQ278" s="48">
        <f t="shared" si="19"/>
        <v>0</v>
      </c>
      <c r="AR278" s="46">
        <f t="shared" si="20"/>
        <v>0</v>
      </c>
      <c r="AS278" s="47">
        <f t="shared" si="21"/>
        <v>0</v>
      </c>
      <c r="AT278" s="5"/>
      <c r="AU278" s="49">
        <f t="shared" si="27"/>
        <v>61631.6</v>
      </c>
      <c r="AV278" s="50">
        <f t="shared" si="23"/>
        <v>1</v>
      </c>
      <c r="AW278" s="51">
        <f t="shared" si="24"/>
        <v>0.005979694204</v>
      </c>
      <c r="AX278" s="52">
        <f t="shared" si="25"/>
        <v>0.001112258283</v>
      </c>
      <c r="AY278" s="5"/>
      <c r="AZ278" s="53">
        <f t="shared" si="26"/>
        <v>1</v>
      </c>
      <c r="BA278" s="5"/>
      <c r="BB278" s="5"/>
      <c r="BC278" s="5"/>
    </row>
    <row r="279" ht="12.75" customHeight="1">
      <c r="A279" s="25"/>
      <c r="B279" s="27" t="s">
        <v>515</v>
      </c>
      <c r="C279" s="27"/>
      <c r="D279" s="28">
        <v>12955.48</v>
      </c>
      <c r="E279" s="29" t="s">
        <v>49</v>
      </c>
      <c r="F279" s="30">
        <v>41820.0</v>
      </c>
      <c r="G279" s="30" t="s">
        <v>40</v>
      </c>
      <c r="H279" s="30">
        <v>41851.0</v>
      </c>
      <c r="I279" s="32">
        <f t="shared" si="1"/>
        <v>1.033333333</v>
      </c>
      <c r="J279" s="33" t="s">
        <v>516</v>
      </c>
      <c r="K279" s="34">
        <v>13500.0</v>
      </c>
      <c r="L279" s="115">
        <v>496.61</v>
      </c>
      <c r="M279" s="35">
        <v>2817.62</v>
      </c>
      <c r="N279" s="35">
        <v>274.02</v>
      </c>
      <c r="O279" s="35">
        <f t="shared" si="65"/>
        <v>0</v>
      </c>
      <c r="P279" s="35">
        <f t="shared" si="3"/>
        <v>3043.73</v>
      </c>
      <c r="Q279" s="36">
        <f t="shared" si="4"/>
        <v>0.234937648</v>
      </c>
      <c r="R279" s="36">
        <f t="shared" si="5"/>
        <v>0.765062352</v>
      </c>
      <c r="S279" s="37"/>
      <c r="T279" s="5"/>
      <c r="U279" s="54">
        <v>49.38</v>
      </c>
      <c r="V279" s="55">
        <v>649.18</v>
      </c>
      <c r="W279" s="55">
        <f t="shared" si="62"/>
        <v>698.56</v>
      </c>
      <c r="X279" s="56">
        <v>0.07</v>
      </c>
      <c r="Y279" s="55">
        <f t="shared" si="63"/>
        <v>447.2302685</v>
      </c>
      <c r="Z279" s="55">
        <f t="shared" si="43"/>
        <v>447.2302685</v>
      </c>
      <c r="AA279" s="57">
        <f t="shared" si="44"/>
        <v>496.6102685</v>
      </c>
      <c r="AB279" s="5"/>
      <c r="AC279" s="42">
        <f t="shared" si="6"/>
        <v>1</v>
      </c>
      <c r="AD279" s="3">
        <f t="shared" si="7"/>
        <v>1</v>
      </c>
      <c r="AE279" s="3">
        <f t="shared" si="8"/>
        <v>1</v>
      </c>
      <c r="AF279" s="43">
        <f t="shared" si="9"/>
        <v>3091.64</v>
      </c>
      <c r="AG279" s="44">
        <f t="shared" si="10"/>
        <v>12955.48</v>
      </c>
      <c r="AH279" s="45">
        <f t="shared" si="11"/>
        <v>1.033333333</v>
      </c>
      <c r="AI279" s="46">
        <f t="shared" si="12"/>
        <v>0.002803605434</v>
      </c>
      <c r="AJ279" s="47">
        <f t="shared" si="13"/>
        <v>0.0006586724666</v>
      </c>
      <c r="AK279" s="5"/>
      <c r="AL279" s="42">
        <f t="shared" si="14"/>
        <v>0</v>
      </c>
      <c r="AM279" s="3">
        <f t="shared" si="15"/>
        <v>1</v>
      </c>
      <c r="AN279" s="3">
        <f t="shared" si="16"/>
        <v>0</v>
      </c>
      <c r="AO279" s="3">
        <f t="shared" si="17"/>
        <v>0</v>
      </c>
      <c r="AP279" s="44">
        <f t="shared" si="18"/>
        <v>0</v>
      </c>
      <c r="AQ279" s="48">
        <f t="shared" si="19"/>
        <v>0</v>
      </c>
      <c r="AR279" s="46">
        <f t="shared" si="20"/>
        <v>0</v>
      </c>
      <c r="AS279" s="47">
        <f t="shared" si="21"/>
        <v>0</v>
      </c>
      <c r="AT279" s="5"/>
      <c r="AU279" s="49">
        <f t="shared" si="27"/>
        <v>12955.48</v>
      </c>
      <c r="AV279" s="50">
        <f t="shared" si="23"/>
        <v>1</v>
      </c>
      <c r="AW279" s="51">
        <f t="shared" si="24"/>
        <v>0.001256981949</v>
      </c>
      <c r="AX279" s="52">
        <f t="shared" si="25"/>
        <v>0.0002953123826</v>
      </c>
      <c r="AY279" s="5"/>
      <c r="AZ279" s="53">
        <f t="shared" si="26"/>
        <v>1</v>
      </c>
      <c r="BA279" s="5"/>
      <c r="BB279" s="5"/>
      <c r="BC279" s="5"/>
    </row>
    <row r="280" ht="12.75" customHeight="1">
      <c r="A280" s="25"/>
      <c r="B280" s="27" t="s">
        <v>517</v>
      </c>
      <c r="C280" s="27"/>
      <c r="D280" s="28">
        <v>11686.11</v>
      </c>
      <c r="E280" s="29" t="s">
        <v>39</v>
      </c>
      <c r="F280" s="30">
        <v>41820.0</v>
      </c>
      <c r="G280" s="30" t="s">
        <v>40</v>
      </c>
      <c r="H280" s="30">
        <v>42034.0</v>
      </c>
      <c r="I280" s="32">
        <f t="shared" si="1"/>
        <v>7.133333333</v>
      </c>
      <c r="J280" s="33" t="s">
        <v>518</v>
      </c>
      <c r="K280" s="34">
        <v>8000.0</v>
      </c>
      <c r="L280" s="115">
        <v>604.09</v>
      </c>
      <c r="M280" s="35">
        <v>1207.59</v>
      </c>
      <c r="N280" s="35">
        <v>0.0</v>
      </c>
      <c r="O280" s="35">
        <f t="shared" si="65"/>
        <v>3686.11</v>
      </c>
      <c r="P280" s="35">
        <f t="shared" si="3"/>
        <v>5497.79</v>
      </c>
      <c r="Q280" s="36">
        <f t="shared" si="4"/>
        <v>0.4704550958</v>
      </c>
      <c r="R280" s="36">
        <f t="shared" si="5"/>
        <v>0.5295449042</v>
      </c>
      <c r="S280" s="37"/>
      <c r="T280" s="5"/>
      <c r="U280" s="54">
        <v>42.2</v>
      </c>
      <c r="V280" s="55">
        <v>541.87</v>
      </c>
      <c r="W280" s="55">
        <f t="shared" si="62"/>
        <v>584.07</v>
      </c>
      <c r="X280" s="56">
        <v>0.0975</v>
      </c>
      <c r="Y280" s="55">
        <f t="shared" si="63"/>
        <v>561.8937822</v>
      </c>
      <c r="Z280" s="55">
        <f t="shared" si="43"/>
        <v>561.8937822</v>
      </c>
      <c r="AA280" s="57">
        <f t="shared" si="44"/>
        <v>604.0937822</v>
      </c>
      <c r="AB280" s="5"/>
      <c r="AC280" s="42">
        <f t="shared" si="6"/>
        <v>0</v>
      </c>
      <c r="AD280" s="3">
        <f t="shared" si="7"/>
        <v>1</v>
      </c>
      <c r="AE280" s="3">
        <f t="shared" si="8"/>
        <v>0</v>
      </c>
      <c r="AF280" s="43">
        <f t="shared" si="9"/>
        <v>0</v>
      </c>
      <c r="AG280" s="44">
        <f t="shared" si="10"/>
        <v>0</v>
      </c>
      <c r="AH280" s="45">
        <f t="shared" si="11"/>
        <v>0</v>
      </c>
      <c r="AI280" s="46">
        <f t="shared" si="12"/>
        <v>0</v>
      </c>
      <c r="AJ280" s="47">
        <f t="shared" si="13"/>
        <v>0</v>
      </c>
      <c r="AK280" s="5"/>
      <c r="AL280" s="42">
        <f t="shared" si="14"/>
        <v>1</v>
      </c>
      <c r="AM280" s="3">
        <f t="shared" si="15"/>
        <v>1</v>
      </c>
      <c r="AN280" s="3">
        <f t="shared" si="16"/>
        <v>1</v>
      </c>
      <c r="AO280" s="3">
        <f t="shared" si="17"/>
        <v>1207.59</v>
      </c>
      <c r="AP280" s="44">
        <f t="shared" si="18"/>
        <v>11686.11</v>
      </c>
      <c r="AQ280" s="48">
        <f t="shared" si="19"/>
        <v>7.133333333</v>
      </c>
      <c r="AR280" s="46">
        <f t="shared" si="20"/>
        <v>0.002049997132</v>
      </c>
      <c r="AS280" s="47">
        <f t="shared" si="21"/>
        <v>0.000964431597</v>
      </c>
      <c r="AT280" s="5"/>
      <c r="AU280" s="49">
        <f t="shared" si="27"/>
        <v>11686.11</v>
      </c>
      <c r="AV280" s="50">
        <f t="shared" si="23"/>
        <v>1</v>
      </c>
      <c r="AW280" s="51">
        <f t="shared" si="24"/>
        <v>0.001133823627</v>
      </c>
      <c r="AX280" s="52">
        <f t="shared" si="25"/>
        <v>0.000533413103</v>
      </c>
      <c r="AY280" s="5"/>
      <c r="AZ280" s="53">
        <f t="shared" si="26"/>
        <v>1</v>
      </c>
      <c r="BA280" s="5"/>
      <c r="BB280" s="5"/>
      <c r="BC280" s="5"/>
    </row>
    <row r="281" ht="12.75" customHeight="1">
      <c r="A281" s="25"/>
      <c r="B281" s="27" t="s">
        <v>519</v>
      </c>
      <c r="C281" s="27"/>
      <c r="D281" s="28">
        <v>10246.63</v>
      </c>
      <c r="E281" s="29" t="s">
        <v>49</v>
      </c>
      <c r="F281" s="30">
        <v>41820.0</v>
      </c>
      <c r="G281" s="30" t="s">
        <v>40</v>
      </c>
      <c r="H281" s="30">
        <v>42063.0</v>
      </c>
      <c r="I281" s="32">
        <f t="shared" si="1"/>
        <v>8.1</v>
      </c>
      <c r="J281" s="33" t="s">
        <v>520</v>
      </c>
      <c r="K281" s="34">
        <v>13000.0</v>
      </c>
      <c r="L281" s="115">
        <v>740.37</v>
      </c>
      <c r="M281" s="35">
        <v>1338.0</v>
      </c>
      <c r="N281" s="35">
        <v>0.0</v>
      </c>
      <c r="O281" s="35">
        <f t="shared" si="65"/>
        <v>0</v>
      </c>
      <c r="P281" s="35">
        <f t="shared" si="3"/>
        <v>0</v>
      </c>
      <c r="Q281" s="36">
        <f t="shared" si="4"/>
        <v>0</v>
      </c>
      <c r="R281" s="36">
        <f t="shared" si="5"/>
        <v>1</v>
      </c>
      <c r="S281" s="37"/>
      <c r="T281" s="5"/>
      <c r="U281" s="54">
        <v>348.75</v>
      </c>
      <c r="V281" s="55">
        <v>1650.35</v>
      </c>
      <c r="W281" s="55">
        <f t="shared" si="62"/>
        <v>1999.1</v>
      </c>
      <c r="X281" s="56">
        <v>0.0775</v>
      </c>
      <c r="Y281" s="55">
        <f t="shared" si="63"/>
        <v>391.6177767</v>
      </c>
      <c r="Z281" s="55">
        <f t="shared" si="43"/>
        <v>391.6177767</v>
      </c>
      <c r="AA281" s="57">
        <f t="shared" si="44"/>
        <v>740.3677767</v>
      </c>
      <c r="AB281" s="5"/>
      <c r="AC281" s="42">
        <f t="shared" si="6"/>
        <v>1</v>
      </c>
      <c r="AD281" s="3">
        <f t="shared" si="7"/>
        <v>1</v>
      </c>
      <c r="AE281" s="3">
        <f t="shared" si="8"/>
        <v>1</v>
      </c>
      <c r="AF281" s="43">
        <f t="shared" si="9"/>
        <v>1338</v>
      </c>
      <c r="AG281" s="44">
        <f t="shared" si="10"/>
        <v>10246.63</v>
      </c>
      <c r="AH281" s="45">
        <f t="shared" si="11"/>
        <v>8.1</v>
      </c>
      <c r="AI281" s="46">
        <f t="shared" si="12"/>
        <v>0.002217402022</v>
      </c>
      <c r="AJ281" s="47">
        <f t="shared" si="13"/>
        <v>0</v>
      </c>
      <c r="AK281" s="5"/>
      <c r="AL281" s="42">
        <f t="shared" si="14"/>
        <v>0</v>
      </c>
      <c r="AM281" s="3">
        <f t="shared" si="15"/>
        <v>1</v>
      </c>
      <c r="AN281" s="3">
        <f t="shared" si="16"/>
        <v>0</v>
      </c>
      <c r="AO281" s="3">
        <f t="shared" si="17"/>
        <v>0</v>
      </c>
      <c r="AP281" s="44">
        <f t="shared" si="18"/>
        <v>0</v>
      </c>
      <c r="AQ281" s="48">
        <f t="shared" si="19"/>
        <v>0</v>
      </c>
      <c r="AR281" s="46">
        <f t="shared" si="20"/>
        <v>0</v>
      </c>
      <c r="AS281" s="47">
        <f t="shared" si="21"/>
        <v>0</v>
      </c>
      <c r="AT281" s="5"/>
      <c r="AU281" s="49">
        <f t="shared" si="27"/>
        <v>10246.63</v>
      </c>
      <c r="AV281" s="50">
        <f t="shared" si="23"/>
        <v>1</v>
      </c>
      <c r="AW281" s="51">
        <f t="shared" si="24"/>
        <v>0.0009941606906</v>
      </c>
      <c r="AX281" s="52">
        <f t="shared" si="25"/>
        <v>0</v>
      </c>
      <c r="AY281" s="5"/>
      <c r="AZ281" s="53">
        <f t="shared" si="26"/>
        <v>1</v>
      </c>
      <c r="BA281" s="5"/>
      <c r="BB281" s="5"/>
      <c r="BC281" s="5"/>
    </row>
    <row r="282" ht="12.75" customHeight="1">
      <c r="A282" s="25"/>
      <c r="B282" s="27" t="s">
        <v>521</v>
      </c>
      <c r="C282" s="27"/>
      <c r="D282" s="28">
        <v>15665.48</v>
      </c>
      <c r="E282" s="29" t="s">
        <v>39</v>
      </c>
      <c r="F282" s="30">
        <v>41851.0</v>
      </c>
      <c r="G282" s="30" t="s">
        <v>40</v>
      </c>
      <c r="H282" s="30">
        <v>41912.0</v>
      </c>
      <c r="I282" s="32">
        <f t="shared" si="1"/>
        <v>2.033333333</v>
      </c>
      <c r="J282" s="33" t="s">
        <v>522</v>
      </c>
      <c r="K282" s="34">
        <v>18000.0</v>
      </c>
      <c r="L282" s="115">
        <v>447.0</v>
      </c>
      <c r="M282" s="35">
        <v>1280.71</v>
      </c>
      <c r="N282" s="35">
        <v>50.71</v>
      </c>
      <c r="O282" s="35">
        <f t="shared" si="65"/>
        <v>0</v>
      </c>
      <c r="P282" s="35">
        <f t="shared" si="3"/>
        <v>0</v>
      </c>
      <c r="Q282" s="36">
        <f t="shared" si="4"/>
        <v>0</v>
      </c>
      <c r="R282" s="36">
        <f t="shared" si="5"/>
        <v>1</v>
      </c>
      <c r="S282" s="37"/>
      <c r="T282" s="5"/>
      <c r="U282" s="54">
        <v>0.0</v>
      </c>
      <c r="V282" s="55">
        <v>447.12</v>
      </c>
      <c r="W282" s="55">
        <f t="shared" si="62"/>
        <v>447.12</v>
      </c>
      <c r="X282" s="56">
        <v>0.0957</v>
      </c>
      <c r="Y282" s="55">
        <f t="shared" si="63"/>
        <v>739.3248178</v>
      </c>
      <c r="Z282" s="55">
        <f t="shared" si="43"/>
        <v>447.12</v>
      </c>
      <c r="AA282" s="57">
        <f t="shared" si="44"/>
        <v>447.12</v>
      </c>
      <c r="AB282" s="5"/>
      <c r="AC282" s="42">
        <f t="shared" si="6"/>
        <v>0</v>
      </c>
      <c r="AD282" s="3">
        <f t="shared" si="7"/>
        <v>1</v>
      </c>
      <c r="AE282" s="3">
        <f t="shared" si="8"/>
        <v>0</v>
      </c>
      <c r="AF282" s="43">
        <f t="shared" si="9"/>
        <v>0</v>
      </c>
      <c r="AG282" s="44">
        <f t="shared" si="10"/>
        <v>0</v>
      </c>
      <c r="AH282" s="45">
        <f t="shared" si="11"/>
        <v>0</v>
      </c>
      <c r="AI282" s="46">
        <f t="shared" si="12"/>
        <v>0</v>
      </c>
      <c r="AJ282" s="47">
        <f t="shared" si="13"/>
        <v>0</v>
      </c>
      <c r="AK282" s="5"/>
      <c r="AL282" s="42">
        <f t="shared" si="14"/>
        <v>1</v>
      </c>
      <c r="AM282" s="3">
        <f t="shared" si="15"/>
        <v>1</v>
      </c>
      <c r="AN282" s="3">
        <f t="shared" si="16"/>
        <v>1</v>
      </c>
      <c r="AO282" s="3">
        <f t="shared" si="17"/>
        <v>1331.42</v>
      </c>
      <c r="AP282" s="44">
        <f t="shared" si="18"/>
        <v>15665.48</v>
      </c>
      <c r="AQ282" s="48">
        <f t="shared" si="19"/>
        <v>2.033333333</v>
      </c>
      <c r="AR282" s="46">
        <f t="shared" si="20"/>
        <v>0.00274806493</v>
      </c>
      <c r="AS282" s="47">
        <f t="shared" si="21"/>
        <v>0</v>
      </c>
      <c r="AT282" s="5"/>
      <c r="AU282" s="49">
        <f t="shared" si="27"/>
        <v>15665.48</v>
      </c>
      <c r="AV282" s="50">
        <f t="shared" si="23"/>
        <v>1</v>
      </c>
      <c r="AW282" s="51">
        <f t="shared" si="24"/>
        <v>0.001519914783</v>
      </c>
      <c r="AX282" s="52">
        <f t="shared" si="25"/>
        <v>0</v>
      </c>
      <c r="AY282" s="5"/>
      <c r="AZ282" s="53">
        <f t="shared" si="26"/>
        <v>1</v>
      </c>
      <c r="BA282" s="5"/>
      <c r="BB282" s="5"/>
      <c r="BC282" s="5"/>
    </row>
    <row r="283" ht="12.75" customHeight="1">
      <c r="A283" s="25"/>
      <c r="B283" s="27" t="s">
        <v>523</v>
      </c>
      <c r="C283" s="27"/>
      <c r="D283" s="28">
        <v>53973.66</v>
      </c>
      <c r="E283" s="29" t="s">
        <v>49</v>
      </c>
      <c r="F283" s="30">
        <v>41851.0</v>
      </c>
      <c r="G283" s="30" t="s">
        <v>40</v>
      </c>
      <c r="H283" s="30">
        <v>42003.0</v>
      </c>
      <c r="I283" s="32">
        <f t="shared" si="1"/>
        <v>5.066666667</v>
      </c>
      <c r="J283" s="33" t="s">
        <v>524</v>
      </c>
      <c r="K283" s="34">
        <v>60000.0</v>
      </c>
      <c r="L283" s="115">
        <v>6017.73</v>
      </c>
      <c r="M283" s="35">
        <v>5656.7</v>
      </c>
      <c r="N283" s="35">
        <v>126.07000000000001</v>
      </c>
      <c r="O283" s="35">
        <f t="shared" si="65"/>
        <v>0</v>
      </c>
      <c r="P283" s="35">
        <f t="shared" si="3"/>
        <v>5774.16</v>
      </c>
      <c r="Q283" s="36">
        <f t="shared" si="4"/>
        <v>0.1069810719</v>
      </c>
      <c r="R283" s="36">
        <f t="shared" si="5"/>
        <v>0.8930189281</v>
      </c>
      <c r="S283" s="37"/>
      <c r="T283" s="5"/>
      <c r="U283" s="54">
        <v>3622.19</v>
      </c>
      <c r="V283" s="55">
        <v>11178.4</v>
      </c>
      <c r="W283" s="55">
        <f t="shared" si="62"/>
        <v>14800.59</v>
      </c>
      <c r="X283" s="56">
        <v>0.09</v>
      </c>
      <c r="Y283" s="55">
        <f t="shared" si="63"/>
        <v>2395.543266</v>
      </c>
      <c r="Z283" s="55">
        <f t="shared" si="43"/>
        <v>2395.543266</v>
      </c>
      <c r="AA283" s="57">
        <f t="shared" si="44"/>
        <v>6017.733266</v>
      </c>
      <c r="AB283" s="5"/>
      <c r="AC283" s="42">
        <f t="shared" si="6"/>
        <v>1</v>
      </c>
      <c r="AD283" s="3">
        <f t="shared" si="7"/>
        <v>1</v>
      </c>
      <c r="AE283" s="3">
        <f t="shared" si="8"/>
        <v>1</v>
      </c>
      <c r="AF283" s="43">
        <f t="shared" si="9"/>
        <v>5782.77</v>
      </c>
      <c r="AG283" s="44">
        <f t="shared" si="10"/>
        <v>53973.66</v>
      </c>
      <c r="AH283" s="45">
        <f t="shared" si="11"/>
        <v>5.066666667</v>
      </c>
      <c r="AI283" s="46">
        <f t="shared" si="12"/>
        <v>0.01168006484</v>
      </c>
      <c r="AJ283" s="47">
        <f t="shared" si="13"/>
        <v>0.001249545857</v>
      </c>
      <c r="AK283" s="5"/>
      <c r="AL283" s="42">
        <f t="shared" si="14"/>
        <v>0</v>
      </c>
      <c r="AM283" s="3">
        <f t="shared" si="15"/>
        <v>1</v>
      </c>
      <c r="AN283" s="3">
        <f t="shared" si="16"/>
        <v>0</v>
      </c>
      <c r="AO283" s="3">
        <f t="shared" si="17"/>
        <v>0</v>
      </c>
      <c r="AP283" s="44">
        <f t="shared" si="18"/>
        <v>0</v>
      </c>
      <c r="AQ283" s="48">
        <f t="shared" si="19"/>
        <v>0</v>
      </c>
      <c r="AR283" s="46">
        <f t="shared" si="20"/>
        <v>0</v>
      </c>
      <c r="AS283" s="47">
        <f t="shared" si="21"/>
        <v>0</v>
      </c>
      <c r="AT283" s="5"/>
      <c r="AU283" s="49">
        <f t="shared" si="27"/>
        <v>53973.66</v>
      </c>
      <c r="AV283" s="50">
        <f t="shared" si="23"/>
        <v>1</v>
      </c>
      <c r="AW283" s="51">
        <f t="shared" si="24"/>
        <v>0.005236696465</v>
      </c>
      <c r="AX283" s="52">
        <f t="shared" si="25"/>
        <v>0.0005602274009</v>
      </c>
      <c r="AY283" s="5"/>
      <c r="AZ283" s="53">
        <f t="shared" si="26"/>
        <v>1</v>
      </c>
      <c r="BA283" s="5"/>
      <c r="BB283" s="5"/>
      <c r="BC283" s="5"/>
    </row>
    <row r="284" ht="12.75" customHeight="1">
      <c r="A284" s="25"/>
      <c r="B284" s="27" t="s">
        <v>525</v>
      </c>
      <c r="C284" s="27"/>
      <c r="D284" s="28">
        <v>22669.48</v>
      </c>
      <c r="E284" s="29" t="s">
        <v>39</v>
      </c>
      <c r="F284" s="30">
        <v>41882.0</v>
      </c>
      <c r="G284" s="30" t="s">
        <v>40</v>
      </c>
      <c r="H284" s="30">
        <v>41942.0</v>
      </c>
      <c r="I284" s="32">
        <f t="shared" si="1"/>
        <v>2</v>
      </c>
      <c r="J284" s="33" t="s">
        <v>526</v>
      </c>
      <c r="K284" s="34">
        <v>24500.0</v>
      </c>
      <c r="L284" s="115">
        <v>3345.62</v>
      </c>
      <c r="M284" s="35">
        <v>1260.62</v>
      </c>
      <c r="N284" s="35">
        <v>217.99</v>
      </c>
      <c r="O284" s="35">
        <f t="shared" si="65"/>
        <v>0</v>
      </c>
      <c r="P284" s="35">
        <f t="shared" si="3"/>
        <v>2993.71</v>
      </c>
      <c r="Q284" s="36">
        <f t="shared" si="4"/>
        <v>0.1320590503</v>
      </c>
      <c r="R284" s="36">
        <f t="shared" si="5"/>
        <v>0.8679409497</v>
      </c>
      <c r="S284" s="37"/>
      <c r="T284" s="5"/>
      <c r="U284" s="54">
        <v>2352.88</v>
      </c>
      <c r="V284" s="55">
        <v>667.34</v>
      </c>
      <c r="W284" s="55">
        <f t="shared" si="62"/>
        <v>3020.22</v>
      </c>
      <c r="X284" s="56">
        <v>0.0888</v>
      </c>
      <c r="Y284" s="55">
        <f t="shared" si="63"/>
        <v>992.7368995</v>
      </c>
      <c r="Z284" s="55">
        <f t="shared" si="43"/>
        <v>992.7368995</v>
      </c>
      <c r="AA284" s="57">
        <f t="shared" si="44"/>
        <v>3345.6169</v>
      </c>
      <c r="AB284" s="5"/>
      <c r="AC284" s="42">
        <f t="shared" si="6"/>
        <v>0</v>
      </c>
      <c r="AD284" s="3">
        <f t="shared" si="7"/>
        <v>1</v>
      </c>
      <c r="AE284" s="3">
        <f t="shared" si="8"/>
        <v>0</v>
      </c>
      <c r="AF284" s="43">
        <f t="shared" si="9"/>
        <v>0</v>
      </c>
      <c r="AG284" s="44">
        <f t="shared" si="10"/>
        <v>0</v>
      </c>
      <c r="AH284" s="45">
        <f t="shared" si="11"/>
        <v>0</v>
      </c>
      <c r="AI284" s="46">
        <f t="shared" si="12"/>
        <v>0</v>
      </c>
      <c r="AJ284" s="47">
        <f t="shared" si="13"/>
        <v>0</v>
      </c>
      <c r="AK284" s="5"/>
      <c r="AL284" s="42">
        <f t="shared" si="14"/>
        <v>1</v>
      </c>
      <c r="AM284" s="3">
        <f t="shared" si="15"/>
        <v>1</v>
      </c>
      <c r="AN284" s="3">
        <f t="shared" si="16"/>
        <v>1</v>
      </c>
      <c r="AO284" s="3">
        <f t="shared" si="17"/>
        <v>1478.61</v>
      </c>
      <c r="AP284" s="44">
        <f t="shared" si="18"/>
        <v>22669.48</v>
      </c>
      <c r="AQ284" s="48">
        <f t="shared" si="19"/>
        <v>2</v>
      </c>
      <c r="AR284" s="46">
        <f t="shared" si="20"/>
        <v>0.003976718427</v>
      </c>
      <c r="AS284" s="47">
        <f t="shared" si="21"/>
        <v>0.0005251616588</v>
      </c>
      <c r="AT284" s="5"/>
      <c r="AU284" s="49">
        <f t="shared" si="27"/>
        <v>22669.48</v>
      </c>
      <c r="AV284" s="50">
        <f t="shared" si="23"/>
        <v>1</v>
      </c>
      <c r="AW284" s="51">
        <f t="shared" si="24"/>
        <v>0.002199465179</v>
      </c>
      <c r="AX284" s="52">
        <f t="shared" si="25"/>
        <v>0.0002904592828</v>
      </c>
      <c r="AY284" s="5"/>
      <c r="AZ284" s="53">
        <f t="shared" si="26"/>
        <v>1</v>
      </c>
      <c r="BA284" s="5"/>
      <c r="BB284" s="5"/>
      <c r="BC284" s="5"/>
    </row>
    <row r="285" ht="12.75" customHeight="1">
      <c r="A285" s="25"/>
      <c r="B285" s="27" t="s">
        <v>527</v>
      </c>
      <c r="C285" s="27"/>
      <c r="D285" s="28">
        <v>18679.49</v>
      </c>
      <c r="E285" s="29" t="s">
        <v>49</v>
      </c>
      <c r="F285" s="30">
        <v>41882.0</v>
      </c>
      <c r="G285" s="30" t="s">
        <v>40</v>
      </c>
      <c r="H285" s="30">
        <v>41973.0</v>
      </c>
      <c r="I285" s="32">
        <f t="shared" si="1"/>
        <v>3.033333333</v>
      </c>
      <c r="J285" s="33" t="s">
        <v>528</v>
      </c>
      <c r="K285" s="34">
        <v>18000.0</v>
      </c>
      <c r="L285" s="115">
        <v>527.0</v>
      </c>
      <c r="M285" s="35">
        <v>1699.89</v>
      </c>
      <c r="N285" s="35">
        <v>0.0</v>
      </c>
      <c r="O285" s="35">
        <f t="shared" si="65"/>
        <v>679.49</v>
      </c>
      <c r="P285" s="35">
        <f t="shared" si="3"/>
        <v>2906.38</v>
      </c>
      <c r="Q285" s="36">
        <f t="shared" si="4"/>
        <v>0.1555920424</v>
      </c>
      <c r="R285" s="36">
        <f t="shared" si="5"/>
        <v>0.8444079576</v>
      </c>
      <c r="S285" s="37"/>
      <c r="T285" s="5"/>
      <c r="U285" s="54">
        <v>0.0</v>
      </c>
      <c r="V285" s="55">
        <v>527.44</v>
      </c>
      <c r="W285" s="55">
        <f t="shared" si="62"/>
        <v>527.44</v>
      </c>
      <c r="X285" s="56">
        <v>0.0775</v>
      </c>
      <c r="Y285" s="55">
        <f t="shared" si="63"/>
        <v>713.9147548</v>
      </c>
      <c r="Z285" s="55">
        <f t="shared" si="43"/>
        <v>527.44</v>
      </c>
      <c r="AA285" s="57">
        <f t="shared" si="44"/>
        <v>527.44</v>
      </c>
      <c r="AB285" s="5"/>
      <c r="AC285" s="42">
        <f t="shared" si="6"/>
        <v>1</v>
      </c>
      <c r="AD285" s="3">
        <f t="shared" si="7"/>
        <v>1</v>
      </c>
      <c r="AE285" s="3">
        <f t="shared" si="8"/>
        <v>1</v>
      </c>
      <c r="AF285" s="43">
        <f t="shared" si="9"/>
        <v>1699.89</v>
      </c>
      <c r="AG285" s="44">
        <f t="shared" si="10"/>
        <v>18679.49</v>
      </c>
      <c r="AH285" s="45">
        <f t="shared" si="11"/>
        <v>3.033333333</v>
      </c>
      <c r="AI285" s="46">
        <f t="shared" si="12"/>
        <v>0.004042298678</v>
      </c>
      <c r="AJ285" s="47">
        <f t="shared" si="13"/>
        <v>0.0006289495072</v>
      </c>
      <c r="AK285" s="5"/>
      <c r="AL285" s="42">
        <f t="shared" si="14"/>
        <v>0</v>
      </c>
      <c r="AM285" s="3">
        <f t="shared" si="15"/>
        <v>1</v>
      </c>
      <c r="AN285" s="3">
        <f t="shared" si="16"/>
        <v>0</v>
      </c>
      <c r="AO285" s="3">
        <f t="shared" si="17"/>
        <v>0</v>
      </c>
      <c r="AP285" s="44">
        <f t="shared" si="18"/>
        <v>0</v>
      </c>
      <c r="AQ285" s="48">
        <f t="shared" si="19"/>
        <v>0</v>
      </c>
      <c r="AR285" s="46">
        <f t="shared" si="20"/>
        <v>0</v>
      </c>
      <c r="AS285" s="47">
        <f t="shared" si="21"/>
        <v>0</v>
      </c>
      <c r="AT285" s="5"/>
      <c r="AU285" s="49">
        <f t="shared" si="27"/>
        <v>18679.49</v>
      </c>
      <c r="AV285" s="50">
        <f t="shared" si="23"/>
        <v>1</v>
      </c>
      <c r="AW285" s="51">
        <f t="shared" si="24"/>
        <v>0.001812343637</v>
      </c>
      <c r="AX285" s="52">
        <f t="shared" si="25"/>
        <v>0.000281986248</v>
      </c>
      <c r="AY285" s="5"/>
      <c r="AZ285" s="53">
        <f t="shared" si="26"/>
        <v>1</v>
      </c>
      <c r="BA285" s="5"/>
      <c r="BB285" s="5"/>
      <c r="BC285" s="5"/>
    </row>
    <row r="286" ht="12.75" customHeight="1">
      <c r="A286" s="25"/>
      <c r="B286" s="27" t="s">
        <v>529</v>
      </c>
      <c r="C286" s="27"/>
      <c r="D286" s="28">
        <v>30936.23</v>
      </c>
      <c r="E286" s="29" t="s">
        <v>39</v>
      </c>
      <c r="F286" s="30">
        <v>41912.0</v>
      </c>
      <c r="G286" s="30" t="s">
        <v>40</v>
      </c>
      <c r="H286" s="30">
        <v>41942.0</v>
      </c>
      <c r="I286" s="32">
        <f t="shared" si="1"/>
        <v>1</v>
      </c>
      <c r="J286" s="33" t="s">
        <v>530</v>
      </c>
      <c r="K286" s="34">
        <v>32000.0</v>
      </c>
      <c r="L286" s="115">
        <v>1584.95</v>
      </c>
      <c r="M286" s="35">
        <v>5489.63</v>
      </c>
      <c r="N286" s="35">
        <v>97.73</v>
      </c>
      <c r="O286" s="35">
        <f t="shared" si="65"/>
        <v>0</v>
      </c>
      <c r="P286" s="35">
        <f t="shared" si="3"/>
        <v>6108.54</v>
      </c>
      <c r="Q286" s="36">
        <f t="shared" si="4"/>
        <v>0.1974558632</v>
      </c>
      <c r="R286" s="36">
        <f t="shared" si="5"/>
        <v>0.8025441368</v>
      </c>
      <c r="S286" s="37"/>
      <c r="T286" s="5"/>
      <c r="U286" s="54">
        <v>289.7</v>
      </c>
      <c r="V286" s="55">
        <v>2941.56</v>
      </c>
      <c r="W286" s="55">
        <f t="shared" si="62"/>
        <v>3231.26</v>
      </c>
      <c r="X286" s="56">
        <v>0.0849</v>
      </c>
      <c r="Y286" s="55">
        <f t="shared" si="63"/>
        <v>1295.253334</v>
      </c>
      <c r="Z286" s="55">
        <f t="shared" si="43"/>
        <v>1295.253334</v>
      </c>
      <c r="AA286" s="57">
        <f t="shared" si="44"/>
        <v>1584.953334</v>
      </c>
      <c r="AB286" s="5"/>
      <c r="AC286" s="42">
        <f t="shared" si="6"/>
        <v>0</v>
      </c>
      <c r="AD286" s="3">
        <f t="shared" si="7"/>
        <v>1</v>
      </c>
      <c r="AE286" s="3">
        <f t="shared" si="8"/>
        <v>0</v>
      </c>
      <c r="AF286" s="43">
        <f t="shared" si="9"/>
        <v>0</v>
      </c>
      <c r="AG286" s="44">
        <f t="shared" si="10"/>
        <v>0</v>
      </c>
      <c r="AH286" s="45">
        <f t="shared" si="11"/>
        <v>0</v>
      </c>
      <c r="AI286" s="46">
        <f t="shared" si="12"/>
        <v>0</v>
      </c>
      <c r="AJ286" s="47">
        <f t="shared" si="13"/>
        <v>0</v>
      </c>
      <c r="AK286" s="5"/>
      <c r="AL286" s="42">
        <f t="shared" si="14"/>
        <v>1</v>
      </c>
      <c r="AM286" s="3">
        <f t="shared" si="15"/>
        <v>1</v>
      </c>
      <c r="AN286" s="3">
        <f t="shared" si="16"/>
        <v>1</v>
      </c>
      <c r="AO286" s="3">
        <f t="shared" si="17"/>
        <v>5587.36</v>
      </c>
      <c r="AP286" s="44">
        <f t="shared" si="18"/>
        <v>30936.23</v>
      </c>
      <c r="AQ286" s="48">
        <f t="shared" si="19"/>
        <v>1</v>
      </c>
      <c r="AR286" s="46">
        <f t="shared" si="20"/>
        <v>0.005426885658</v>
      </c>
      <c r="AS286" s="47">
        <f t="shared" si="21"/>
        <v>0.001071570392</v>
      </c>
      <c r="AT286" s="5"/>
      <c r="AU286" s="49">
        <f t="shared" si="27"/>
        <v>30936.23</v>
      </c>
      <c r="AV286" s="50">
        <f t="shared" si="23"/>
        <v>1</v>
      </c>
      <c r="AW286" s="51">
        <f t="shared" si="24"/>
        <v>0.003001531604</v>
      </c>
      <c r="AX286" s="52">
        <f t="shared" si="25"/>
        <v>0.0005926700139</v>
      </c>
      <c r="AY286" s="5"/>
      <c r="AZ286" s="53">
        <f t="shared" si="26"/>
        <v>1</v>
      </c>
      <c r="BA286" s="5"/>
      <c r="BB286" s="5"/>
      <c r="BC286" s="5"/>
    </row>
    <row r="287" ht="12.75" customHeight="1">
      <c r="A287" s="25"/>
      <c r="B287" s="27" t="s">
        <v>531</v>
      </c>
      <c r="C287" s="27"/>
      <c r="D287" s="28">
        <v>25200.0</v>
      </c>
      <c r="E287" s="29" t="s">
        <v>39</v>
      </c>
      <c r="F287" s="30">
        <v>41942.0</v>
      </c>
      <c r="G287" s="30" t="s">
        <v>40</v>
      </c>
      <c r="H287" s="30">
        <v>42003.0</v>
      </c>
      <c r="I287" s="32">
        <f t="shared" si="1"/>
        <v>2.033333333</v>
      </c>
      <c r="J287" s="33" t="s">
        <v>532</v>
      </c>
      <c r="K287" s="34">
        <v>25000.0</v>
      </c>
      <c r="L287" s="115">
        <v>1153.28</v>
      </c>
      <c r="M287" s="35">
        <v>181.8</v>
      </c>
      <c r="N287" s="35">
        <v>0.0</v>
      </c>
      <c r="O287" s="35">
        <f t="shared" si="65"/>
        <v>200</v>
      </c>
      <c r="P287" s="35">
        <f t="shared" si="3"/>
        <v>1535.08</v>
      </c>
      <c r="Q287" s="36">
        <f t="shared" si="4"/>
        <v>0.06091587302</v>
      </c>
      <c r="R287" s="36">
        <f t="shared" si="5"/>
        <v>0.939084127</v>
      </c>
      <c r="S287" s="37"/>
      <c r="T287" s="5"/>
      <c r="U287" s="54">
        <v>79.55</v>
      </c>
      <c r="V287" s="55">
        <v>1845.08</v>
      </c>
      <c r="W287" s="55">
        <f t="shared" si="62"/>
        <v>1924.63</v>
      </c>
      <c r="X287" s="56">
        <v>0.0864</v>
      </c>
      <c r="Y287" s="55">
        <f t="shared" si="63"/>
        <v>1073.727123</v>
      </c>
      <c r="Z287" s="55">
        <f t="shared" si="43"/>
        <v>1073.727123</v>
      </c>
      <c r="AA287" s="57">
        <f t="shared" si="44"/>
        <v>1153.277123</v>
      </c>
      <c r="AB287" s="5"/>
      <c r="AC287" s="42">
        <f t="shared" si="6"/>
        <v>0</v>
      </c>
      <c r="AD287" s="3">
        <f t="shared" si="7"/>
        <v>1</v>
      </c>
      <c r="AE287" s="3">
        <f t="shared" si="8"/>
        <v>0</v>
      </c>
      <c r="AF287" s="43">
        <f t="shared" si="9"/>
        <v>0</v>
      </c>
      <c r="AG287" s="44">
        <f t="shared" si="10"/>
        <v>0</v>
      </c>
      <c r="AH287" s="45">
        <f t="shared" si="11"/>
        <v>0</v>
      </c>
      <c r="AI287" s="46">
        <f t="shared" si="12"/>
        <v>0</v>
      </c>
      <c r="AJ287" s="47">
        <f t="shared" si="13"/>
        <v>0</v>
      </c>
      <c r="AK287" s="5"/>
      <c r="AL287" s="42">
        <f t="shared" si="14"/>
        <v>1</v>
      </c>
      <c r="AM287" s="3">
        <f t="shared" si="15"/>
        <v>1</v>
      </c>
      <c r="AN287" s="3">
        <f t="shared" si="16"/>
        <v>1</v>
      </c>
      <c r="AO287" s="3">
        <f t="shared" si="17"/>
        <v>181.8</v>
      </c>
      <c r="AP287" s="44">
        <f t="shared" si="18"/>
        <v>25200</v>
      </c>
      <c r="AQ287" s="48">
        <f t="shared" si="19"/>
        <v>2.033333333</v>
      </c>
      <c r="AR287" s="46">
        <f t="shared" si="20"/>
        <v>0.004420626514</v>
      </c>
      <c r="AS287" s="47">
        <f t="shared" si="21"/>
        <v>0.0002692863234</v>
      </c>
      <c r="AT287" s="5"/>
      <c r="AU287" s="49">
        <f t="shared" si="27"/>
        <v>25200</v>
      </c>
      <c r="AV287" s="50">
        <f t="shared" si="23"/>
        <v>1</v>
      </c>
      <c r="AW287" s="51">
        <f t="shared" si="24"/>
        <v>0.002444984293</v>
      </c>
      <c r="AX287" s="52">
        <f t="shared" si="25"/>
        <v>0.0001489383527</v>
      </c>
      <c r="AY287" s="5"/>
      <c r="AZ287" s="53">
        <f t="shared" si="26"/>
        <v>1</v>
      </c>
      <c r="BA287" s="5"/>
      <c r="BB287" s="5"/>
      <c r="BC287" s="5"/>
    </row>
    <row r="288" ht="12.75" customHeight="1">
      <c r="A288" s="25"/>
      <c r="B288" s="27" t="s">
        <v>533</v>
      </c>
      <c r="C288" s="27"/>
      <c r="D288" s="28">
        <v>19688.53</v>
      </c>
      <c r="E288" s="29" t="s">
        <v>39</v>
      </c>
      <c r="F288" s="30">
        <v>41942.0</v>
      </c>
      <c r="G288" s="30" t="s">
        <v>40</v>
      </c>
      <c r="H288" s="30">
        <v>42034.0</v>
      </c>
      <c r="I288" s="32">
        <f t="shared" si="1"/>
        <v>3.066666667</v>
      </c>
      <c r="J288" s="33" t="s">
        <v>534</v>
      </c>
      <c r="K288" s="34">
        <v>20000.0</v>
      </c>
      <c r="L288" s="115">
        <v>853.04</v>
      </c>
      <c r="M288" s="35">
        <v>3394.83</v>
      </c>
      <c r="N288" s="35">
        <v>0.0</v>
      </c>
      <c r="O288" s="35">
        <f t="shared" si="65"/>
        <v>0</v>
      </c>
      <c r="P288" s="35">
        <f t="shared" si="3"/>
        <v>3936.4</v>
      </c>
      <c r="Q288" s="36">
        <f t="shared" si="4"/>
        <v>0.199933667</v>
      </c>
      <c r="R288" s="36">
        <f t="shared" si="5"/>
        <v>0.800066333</v>
      </c>
      <c r="S288" s="37"/>
      <c r="T288" s="5"/>
      <c r="U288" s="54">
        <v>100.56</v>
      </c>
      <c r="V288" s="55">
        <v>1344.0</v>
      </c>
      <c r="W288" s="55">
        <f t="shared" si="62"/>
        <v>1444.56</v>
      </c>
      <c r="X288" s="56">
        <v>0.0775</v>
      </c>
      <c r="Y288" s="55">
        <f t="shared" si="63"/>
        <v>752.4794342</v>
      </c>
      <c r="Z288" s="55">
        <f t="shared" si="43"/>
        <v>752.4794342</v>
      </c>
      <c r="AA288" s="57">
        <f t="shared" si="44"/>
        <v>853.0394342</v>
      </c>
      <c r="AB288" s="5"/>
      <c r="AC288" s="42">
        <f t="shared" si="6"/>
        <v>0</v>
      </c>
      <c r="AD288" s="3">
        <f t="shared" si="7"/>
        <v>1</v>
      </c>
      <c r="AE288" s="3">
        <f t="shared" si="8"/>
        <v>0</v>
      </c>
      <c r="AF288" s="43">
        <f t="shared" si="9"/>
        <v>0</v>
      </c>
      <c r="AG288" s="44">
        <f t="shared" si="10"/>
        <v>0</v>
      </c>
      <c r="AH288" s="45">
        <f t="shared" si="11"/>
        <v>0</v>
      </c>
      <c r="AI288" s="46">
        <f t="shared" si="12"/>
        <v>0</v>
      </c>
      <c r="AJ288" s="47">
        <f t="shared" si="13"/>
        <v>0</v>
      </c>
      <c r="AK288" s="5"/>
      <c r="AL288" s="42">
        <f t="shared" si="14"/>
        <v>1</v>
      </c>
      <c r="AM288" s="3">
        <f t="shared" si="15"/>
        <v>1</v>
      </c>
      <c r="AN288" s="3">
        <f t="shared" si="16"/>
        <v>1</v>
      </c>
      <c r="AO288" s="3">
        <f t="shared" si="17"/>
        <v>3394.83</v>
      </c>
      <c r="AP288" s="44">
        <f t="shared" si="18"/>
        <v>19688.53</v>
      </c>
      <c r="AQ288" s="48">
        <f t="shared" si="19"/>
        <v>3.066666667</v>
      </c>
      <c r="AR288" s="46">
        <f t="shared" si="20"/>
        <v>0.003453795149</v>
      </c>
      <c r="AS288" s="47">
        <f t="shared" si="21"/>
        <v>0.000690529929</v>
      </c>
      <c r="AT288" s="5"/>
      <c r="AU288" s="49">
        <f t="shared" si="27"/>
        <v>19688.53</v>
      </c>
      <c r="AV288" s="50">
        <f t="shared" si="23"/>
        <v>1</v>
      </c>
      <c r="AW288" s="51">
        <f t="shared" si="24"/>
        <v>0.001910243913</v>
      </c>
      <c r="AX288" s="52">
        <f t="shared" si="25"/>
        <v>0.0003819220702</v>
      </c>
      <c r="AY288" s="5"/>
      <c r="AZ288" s="53">
        <f t="shared" si="26"/>
        <v>1</v>
      </c>
      <c r="BA288" s="5"/>
      <c r="BB288" s="5"/>
      <c r="BC288" s="5"/>
    </row>
    <row r="289" ht="12.75" customHeight="1">
      <c r="A289" s="25"/>
      <c r="B289" s="27" t="s">
        <v>535</v>
      </c>
      <c r="C289" s="27"/>
      <c r="D289" s="28">
        <v>70184.75</v>
      </c>
      <c r="E289" s="29" t="s">
        <v>39</v>
      </c>
      <c r="F289" s="30">
        <v>41942.0</v>
      </c>
      <c r="G289" s="30" t="s">
        <v>40</v>
      </c>
      <c r="H289" s="30">
        <v>42063.0</v>
      </c>
      <c r="I289" s="32">
        <f t="shared" si="1"/>
        <v>4.033333333</v>
      </c>
      <c r="J289" s="33" t="s">
        <v>536</v>
      </c>
      <c r="K289" s="34">
        <v>90000.0</v>
      </c>
      <c r="L289" s="115">
        <v>5073.29</v>
      </c>
      <c r="M289" s="35">
        <v>8826.22</v>
      </c>
      <c r="N289" s="35">
        <v>384.9</v>
      </c>
      <c r="O289" s="35">
        <f t="shared" si="65"/>
        <v>0</v>
      </c>
      <c r="P289" s="35">
        <f t="shared" si="3"/>
        <v>0</v>
      </c>
      <c r="Q289" s="36">
        <f t="shared" si="4"/>
        <v>0</v>
      </c>
      <c r="R289" s="36">
        <f t="shared" si="5"/>
        <v>1</v>
      </c>
      <c r="S289" s="37"/>
      <c r="T289" s="5"/>
      <c r="U289" s="54">
        <v>2737.0</v>
      </c>
      <c r="V289" s="55">
        <v>7679.2</v>
      </c>
      <c r="W289" s="55">
        <f t="shared" si="62"/>
        <v>10416.2</v>
      </c>
      <c r="X289" s="56">
        <v>0.0675</v>
      </c>
      <c r="Y289" s="55">
        <f t="shared" si="63"/>
        <v>2336.286884</v>
      </c>
      <c r="Z289" s="55">
        <f t="shared" si="43"/>
        <v>2336.286884</v>
      </c>
      <c r="AA289" s="57">
        <f t="shared" si="44"/>
        <v>5073.286884</v>
      </c>
      <c r="AB289" s="5"/>
      <c r="AC289" s="42">
        <f t="shared" si="6"/>
        <v>0</v>
      </c>
      <c r="AD289" s="3">
        <f t="shared" si="7"/>
        <v>1</v>
      </c>
      <c r="AE289" s="3">
        <f t="shared" si="8"/>
        <v>0</v>
      </c>
      <c r="AF289" s="43">
        <f t="shared" si="9"/>
        <v>0</v>
      </c>
      <c r="AG289" s="44">
        <f t="shared" si="10"/>
        <v>0</v>
      </c>
      <c r="AH289" s="45">
        <f t="shared" si="11"/>
        <v>0</v>
      </c>
      <c r="AI289" s="46">
        <f t="shared" si="12"/>
        <v>0</v>
      </c>
      <c r="AJ289" s="47">
        <f t="shared" si="13"/>
        <v>0</v>
      </c>
      <c r="AK289" s="5"/>
      <c r="AL289" s="42">
        <f t="shared" si="14"/>
        <v>1</v>
      </c>
      <c r="AM289" s="3">
        <f t="shared" si="15"/>
        <v>1</v>
      </c>
      <c r="AN289" s="3">
        <f t="shared" si="16"/>
        <v>1</v>
      </c>
      <c r="AO289" s="3">
        <f t="shared" si="17"/>
        <v>9211.12</v>
      </c>
      <c r="AP289" s="44">
        <f t="shared" si="18"/>
        <v>70184.75</v>
      </c>
      <c r="AQ289" s="48">
        <f t="shared" si="19"/>
        <v>4.033333333</v>
      </c>
      <c r="AR289" s="46">
        <f t="shared" si="20"/>
        <v>0.01231192725</v>
      </c>
      <c r="AS289" s="47">
        <f t="shared" si="21"/>
        <v>0</v>
      </c>
      <c r="AT289" s="5"/>
      <c r="AU289" s="49">
        <f t="shared" si="27"/>
        <v>70184.75</v>
      </c>
      <c r="AV289" s="50">
        <f t="shared" si="23"/>
        <v>1</v>
      </c>
      <c r="AW289" s="51">
        <f t="shared" si="24"/>
        <v>0.006809548069</v>
      </c>
      <c r="AX289" s="52">
        <f t="shared" si="25"/>
        <v>0</v>
      </c>
      <c r="AY289" s="5"/>
      <c r="AZ289" s="53">
        <f t="shared" si="26"/>
        <v>1</v>
      </c>
      <c r="BA289" s="5"/>
      <c r="BB289" s="5"/>
      <c r="BC289" s="5"/>
    </row>
    <row r="290" ht="12.75" customHeight="1">
      <c r="A290" s="25"/>
      <c r="B290" s="27" t="s">
        <v>537</v>
      </c>
      <c r="C290" s="27"/>
      <c r="D290" s="28">
        <v>35437.0</v>
      </c>
      <c r="E290" s="29" t="s">
        <v>39</v>
      </c>
      <c r="F290" s="30">
        <v>41973.0</v>
      </c>
      <c r="G290" s="30" t="s">
        <v>40</v>
      </c>
      <c r="H290" s="30">
        <v>42183.0</v>
      </c>
      <c r="I290" s="32">
        <f t="shared" si="1"/>
        <v>7</v>
      </c>
      <c r="J290" s="33" t="s">
        <v>269</v>
      </c>
      <c r="K290" s="34">
        <v>42000.0</v>
      </c>
      <c r="L290" s="115">
        <v>1952.09</v>
      </c>
      <c r="M290" s="35">
        <v>260.8</v>
      </c>
      <c r="N290" s="35">
        <v>0.0</v>
      </c>
      <c r="O290" s="35">
        <f t="shared" si="65"/>
        <v>0</v>
      </c>
      <c r="P290" s="35">
        <f t="shared" si="3"/>
        <v>0</v>
      </c>
      <c r="Q290" s="36">
        <f t="shared" si="4"/>
        <v>0</v>
      </c>
      <c r="R290" s="36">
        <f t="shared" si="5"/>
        <v>1</v>
      </c>
      <c r="S290" s="37"/>
      <c r="T290" s="5"/>
      <c r="U290" s="54">
        <v>466.65</v>
      </c>
      <c r="V290" s="55">
        <v>5028.6</v>
      </c>
      <c r="W290" s="55">
        <f t="shared" si="62"/>
        <v>5495.25</v>
      </c>
      <c r="X290" s="56">
        <v>0.085</v>
      </c>
      <c r="Y290" s="55">
        <f t="shared" si="63"/>
        <v>1485.44137</v>
      </c>
      <c r="Z290" s="55">
        <f t="shared" si="43"/>
        <v>1485.44137</v>
      </c>
      <c r="AA290" s="57">
        <f t="shared" si="44"/>
        <v>1952.09137</v>
      </c>
      <c r="AB290" s="5"/>
      <c r="AC290" s="42">
        <f t="shared" si="6"/>
        <v>0</v>
      </c>
      <c r="AD290" s="3">
        <f t="shared" si="7"/>
        <v>1</v>
      </c>
      <c r="AE290" s="3">
        <f t="shared" si="8"/>
        <v>0</v>
      </c>
      <c r="AF290" s="43">
        <f t="shared" si="9"/>
        <v>0</v>
      </c>
      <c r="AG290" s="44">
        <f t="shared" si="10"/>
        <v>0</v>
      </c>
      <c r="AH290" s="45">
        <f t="shared" si="11"/>
        <v>0</v>
      </c>
      <c r="AI290" s="46">
        <f t="shared" si="12"/>
        <v>0</v>
      </c>
      <c r="AJ290" s="47">
        <f t="shared" si="13"/>
        <v>0</v>
      </c>
      <c r="AK290" s="5"/>
      <c r="AL290" s="42">
        <f t="shared" si="14"/>
        <v>1</v>
      </c>
      <c r="AM290" s="3">
        <f t="shared" si="15"/>
        <v>1</v>
      </c>
      <c r="AN290" s="3">
        <f t="shared" si="16"/>
        <v>1</v>
      </c>
      <c r="AO290" s="3">
        <f t="shared" si="17"/>
        <v>260.8</v>
      </c>
      <c r="AP290" s="44">
        <f t="shared" si="18"/>
        <v>35437</v>
      </c>
      <c r="AQ290" s="48">
        <f t="shared" si="19"/>
        <v>7</v>
      </c>
      <c r="AR290" s="46">
        <f t="shared" si="20"/>
        <v>0.006216418325</v>
      </c>
      <c r="AS290" s="47">
        <f t="shared" si="21"/>
        <v>0</v>
      </c>
      <c r="AT290" s="5"/>
      <c r="AU290" s="49">
        <f t="shared" si="27"/>
        <v>35437</v>
      </c>
      <c r="AV290" s="50">
        <f t="shared" si="23"/>
        <v>1</v>
      </c>
      <c r="AW290" s="51">
        <f t="shared" si="24"/>
        <v>0.00343821065</v>
      </c>
      <c r="AX290" s="52">
        <f t="shared" si="25"/>
        <v>0</v>
      </c>
      <c r="AY290" s="5"/>
      <c r="AZ290" s="53">
        <f t="shared" si="26"/>
        <v>1</v>
      </c>
      <c r="BA290" s="5"/>
      <c r="BB290" s="5"/>
      <c r="BC290" s="5"/>
    </row>
    <row r="291" ht="12.75" customHeight="1">
      <c r="A291" s="25"/>
      <c r="B291" s="27" t="s">
        <v>134</v>
      </c>
      <c r="C291" s="27">
        <v>10000.0</v>
      </c>
      <c r="D291" s="28">
        <v>9760.0</v>
      </c>
      <c r="E291" s="29" t="s">
        <v>39</v>
      </c>
      <c r="F291" s="30">
        <v>41973.0</v>
      </c>
      <c r="G291" s="30" t="s">
        <v>40</v>
      </c>
      <c r="H291" s="30">
        <v>42400.0</v>
      </c>
      <c r="I291" s="32">
        <f t="shared" si="1"/>
        <v>14.23333333</v>
      </c>
      <c r="J291" s="33" t="s">
        <v>538</v>
      </c>
      <c r="K291" s="34">
        <v>5000.0</v>
      </c>
      <c r="L291" s="115">
        <v>445.47</v>
      </c>
      <c r="M291" s="35">
        <v>71.95</v>
      </c>
      <c r="N291" s="35">
        <v>0.0</v>
      </c>
      <c r="O291" s="35">
        <f t="shared" si="65"/>
        <v>4760</v>
      </c>
      <c r="P291" s="35">
        <f t="shared" si="3"/>
        <v>5277.42</v>
      </c>
      <c r="Q291" s="36">
        <f t="shared" si="4"/>
        <v>0.5407192623</v>
      </c>
      <c r="R291" s="36">
        <f t="shared" si="5"/>
        <v>0.4592807377</v>
      </c>
      <c r="S291" s="37"/>
      <c r="T291" s="5"/>
      <c r="U291" s="54">
        <v>37.31</v>
      </c>
      <c r="V291" s="55">
        <v>576.42</v>
      </c>
      <c r="W291" s="55">
        <f t="shared" si="62"/>
        <v>613.73</v>
      </c>
      <c r="X291" s="56">
        <v>0.0848</v>
      </c>
      <c r="Y291" s="55">
        <f t="shared" si="63"/>
        <v>408.1551781</v>
      </c>
      <c r="Z291" s="55">
        <f t="shared" si="43"/>
        <v>408.1551781</v>
      </c>
      <c r="AA291" s="57">
        <f t="shared" si="44"/>
        <v>445.4651781</v>
      </c>
      <c r="AB291" s="5"/>
      <c r="AC291" s="42">
        <f t="shared" si="6"/>
        <v>0</v>
      </c>
      <c r="AD291" s="3">
        <f t="shared" si="7"/>
        <v>1</v>
      </c>
      <c r="AE291" s="3">
        <f t="shared" si="8"/>
        <v>0</v>
      </c>
      <c r="AF291" s="43">
        <f t="shared" si="9"/>
        <v>0</v>
      </c>
      <c r="AG291" s="44">
        <f t="shared" si="10"/>
        <v>0</v>
      </c>
      <c r="AH291" s="45">
        <f t="shared" si="11"/>
        <v>0</v>
      </c>
      <c r="AI291" s="46">
        <f t="shared" si="12"/>
        <v>0</v>
      </c>
      <c r="AJ291" s="47">
        <f t="shared" si="13"/>
        <v>0</v>
      </c>
      <c r="AK291" s="5"/>
      <c r="AL291" s="42">
        <f t="shared" si="14"/>
        <v>1</v>
      </c>
      <c r="AM291" s="3">
        <f t="shared" si="15"/>
        <v>1</v>
      </c>
      <c r="AN291" s="3">
        <f t="shared" si="16"/>
        <v>1</v>
      </c>
      <c r="AO291" s="3">
        <f t="shared" si="17"/>
        <v>71.95</v>
      </c>
      <c r="AP291" s="44">
        <f t="shared" si="18"/>
        <v>9760</v>
      </c>
      <c r="AQ291" s="48">
        <f t="shared" si="19"/>
        <v>14.23333333</v>
      </c>
      <c r="AR291" s="46">
        <f t="shared" si="20"/>
        <v>0.001712115666</v>
      </c>
      <c r="AS291" s="47">
        <f t="shared" si="21"/>
        <v>0.0009257739198</v>
      </c>
      <c r="AT291" s="5"/>
      <c r="AU291" s="49">
        <f t="shared" si="27"/>
        <v>9760</v>
      </c>
      <c r="AV291" s="50">
        <f t="shared" si="23"/>
        <v>1</v>
      </c>
      <c r="AW291" s="51">
        <f t="shared" si="24"/>
        <v>0.0009469462975</v>
      </c>
      <c r="AX291" s="52">
        <f t="shared" si="25"/>
        <v>0.0005120321034</v>
      </c>
      <c r="AY291" s="5"/>
      <c r="AZ291" s="53">
        <f t="shared" si="26"/>
        <v>1</v>
      </c>
      <c r="BA291" s="5"/>
      <c r="BB291" s="5"/>
      <c r="BC291" s="5"/>
    </row>
    <row r="292" ht="12.75" customHeight="1">
      <c r="A292" s="25"/>
      <c r="B292" s="27" t="s">
        <v>539</v>
      </c>
      <c r="C292" s="27"/>
      <c r="D292" s="28">
        <v>16412.66</v>
      </c>
      <c r="E292" s="29" t="s">
        <v>39</v>
      </c>
      <c r="F292" s="30">
        <v>42003.0</v>
      </c>
      <c r="G292" s="30" t="s">
        <v>40</v>
      </c>
      <c r="H292" s="30">
        <v>42034.0</v>
      </c>
      <c r="I292" s="32">
        <f t="shared" si="1"/>
        <v>1.033333333</v>
      </c>
      <c r="J292" s="33" t="s">
        <v>540</v>
      </c>
      <c r="K292" s="34">
        <v>19000.0</v>
      </c>
      <c r="L292" s="115">
        <v>821.65</v>
      </c>
      <c r="M292" s="35">
        <v>517.41</v>
      </c>
      <c r="N292" s="35">
        <v>0.0</v>
      </c>
      <c r="O292" s="35">
        <f t="shared" si="65"/>
        <v>0</v>
      </c>
      <c r="P292" s="35">
        <f t="shared" si="3"/>
        <v>0</v>
      </c>
      <c r="Q292" s="36">
        <f t="shared" si="4"/>
        <v>0</v>
      </c>
      <c r="R292" s="36">
        <f t="shared" si="5"/>
        <v>1</v>
      </c>
      <c r="S292" s="37"/>
      <c r="T292" s="5"/>
      <c r="U292" s="54">
        <v>93.2</v>
      </c>
      <c r="V292" s="55">
        <v>1284.15</v>
      </c>
      <c r="W292" s="55">
        <f t="shared" si="62"/>
        <v>1377.35</v>
      </c>
      <c r="X292" s="56">
        <v>0.09</v>
      </c>
      <c r="Y292" s="55">
        <f t="shared" si="63"/>
        <v>728.4523068</v>
      </c>
      <c r="Z292" s="55">
        <f t="shared" si="43"/>
        <v>728.4523068</v>
      </c>
      <c r="AA292" s="57">
        <f t="shared" si="44"/>
        <v>821.6523068</v>
      </c>
      <c r="AB292" s="5"/>
      <c r="AC292" s="42">
        <f t="shared" si="6"/>
        <v>0</v>
      </c>
      <c r="AD292" s="3">
        <f t="shared" si="7"/>
        <v>1</v>
      </c>
      <c r="AE292" s="3">
        <f t="shared" si="8"/>
        <v>0</v>
      </c>
      <c r="AF292" s="43">
        <f t="shared" si="9"/>
        <v>0</v>
      </c>
      <c r="AG292" s="44">
        <f t="shared" si="10"/>
        <v>0</v>
      </c>
      <c r="AH292" s="45">
        <f t="shared" si="11"/>
        <v>0</v>
      </c>
      <c r="AI292" s="46">
        <f t="shared" si="12"/>
        <v>0</v>
      </c>
      <c r="AJ292" s="47">
        <f t="shared" si="13"/>
        <v>0</v>
      </c>
      <c r="AK292" s="5"/>
      <c r="AL292" s="42">
        <f t="shared" si="14"/>
        <v>1</v>
      </c>
      <c r="AM292" s="3">
        <f t="shared" si="15"/>
        <v>1</v>
      </c>
      <c r="AN292" s="3">
        <f t="shared" si="16"/>
        <v>1</v>
      </c>
      <c r="AO292" s="3">
        <f t="shared" si="17"/>
        <v>517.41</v>
      </c>
      <c r="AP292" s="44">
        <f t="shared" si="18"/>
        <v>16412.66</v>
      </c>
      <c r="AQ292" s="48">
        <f t="shared" si="19"/>
        <v>1.033333333</v>
      </c>
      <c r="AR292" s="46">
        <f t="shared" si="20"/>
        <v>0.002879136507</v>
      </c>
      <c r="AS292" s="47">
        <f t="shared" si="21"/>
        <v>0</v>
      </c>
      <c r="AT292" s="5"/>
      <c r="AU292" s="49">
        <f t="shared" si="27"/>
        <v>16412.66</v>
      </c>
      <c r="AV292" s="50">
        <f t="shared" si="23"/>
        <v>1</v>
      </c>
      <c r="AW292" s="51">
        <f t="shared" si="24"/>
        <v>0.001592408567</v>
      </c>
      <c r="AX292" s="52">
        <f t="shared" si="25"/>
        <v>0</v>
      </c>
      <c r="AY292" s="5"/>
      <c r="AZ292" s="53">
        <f t="shared" si="26"/>
        <v>1</v>
      </c>
      <c r="BA292" s="5"/>
      <c r="BB292" s="5"/>
      <c r="BC292" s="5"/>
    </row>
    <row r="293" ht="12.75" customHeight="1">
      <c r="A293" s="69"/>
      <c r="B293" s="27" t="s">
        <v>541</v>
      </c>
      <c r="C293" s="27"/>
      <c r="D293" s="28">
        <v>25108.28</v>
      </c>
      <c r="E293" s="29" t="s">
        <v>39</v>
      </c>
      <c r="F293" s="30">
        <v>42003.0</v>
      </c>
      <c r="G293" s="30" t="s">
        <v>40</v>
      </c>
      <c r="H293" s="30">
        <v>42183.0</v>
      </c>
      <c r="I293" s="32">
        <f t="shared" si="1"/>
        <v>6</v>
      </c>
      <c r="J293" s="33" t="s">
        <v>542</v>
      </c>
      <c r="K293" s="34">
        <v>21000.0</v>
      </c>
      <c r="L293" s="115">
        <v>1127.46</v>
      </c>
      <c r="M293" s="35">
        <v>5801.29</v>
      </c>
      <c r="N293" s="35">
        <v>0.0</v>
      </c>
      <c r="O293" s="35">
        <f t="shared" si="65"/>
        <v>4108.28</v>
      </c>
      <c r="P293" s="35">
        <f t="shared" si="3"/>
        <v>11037.03</v>
      </c>
      <c r="Q293" s="36">
        <f t="shared" si="4"/>
        <v>0.4395773028</v>
      </c>
      <c r="R293" s="36">
        <f t="shared" si="5"/>
        <v>0.5604226972</v>
      </c>
      <c r="S293" s="37"/>
      <c r="T293" s="5"/>
      <c r="U293" s="54">
        <v>136.89</v>
      </c>
      <c r="V293" s="55">
        <v>2195.77</v>
      </c>
      <c r="W293" s="55">
        <f t="shared" si="62"/>
        <v>2332.66</v>
      </c>
      <c r="X293" s="56">
        <v>0.08</v>
      </c>
      <c r="Y293" s="55">
        <f t="shared" si="63"/>
        <v>990.5732384</v>
      </c>
      <c r="Z293" s="55">
        <f t="shared" si="43"/>
        <v>990.5732384</v>
      </c>
      <c r="AA293" s="57">
        <f t="shared" si="44"/>
        <v>1127.463238</v>
      </c>
      <c r="AB293" s="5"/>
      <c r="AC293" s="42">
        <f t="shared" si="6"/>
        <v>0</v>
      </c>
      <c r="AD293" s="3">
        <f t="shared" si="7"/>
        <v>1</v>
      </c>
      <c r="AE293" s="3">
        <f t="shared" si="8"/>
        <v>0</v>
      </c>
      <c r="AF293" s="43">
        <f t="shared" si="9"/>
        <v>0</v>
      </c>
      <c r="AG293" s="44">
        <f t="shared" si="10"/>
        <v>0</v>
      </c>
      <c r="AH293" s="45">
        <f t="shared" si="11"/>
        <v>0</v>
      </c>
      <c r="AI293" s="46">
        <f t="shared" si="12"/>
        <v>0</v>
      </c>
      <c r="AJ293" s="47">
        <f t="shared" si="13"/>
        <v>0</v>
      </c>
      <c r="AK293" s="5"/>
      <c r="AL293" s="42">
        <f t="shared" si="14"/>
        <v>1</v>
      </c>
      <c r="AM293" s="3">
        <f t="shared" si="15"/>
        <v>1</v>
      </c>
      <c r="AN293" s="3">
        <f t="shared" si="16"/>
        <v>1</v>
      </c>
      <c r="AO293" s="3">
        <f t="shared" si="17"/>
        <v>5801.29</v>
      </c>
      <c r="AP293" s="44">
        <f t="shared" si="18"/>
        <v>25108.28</v>
      </c>
      <c r="AQ293" s="48">
        <f t="shared" si="19"/>
        <v>6</v>
      </c>
      <c r="AR293" s="46">
        <f t="shared" si="20"/>
        <v>0.004404536837</v>
      </c>
      <c r="AS293" s="47">
        <f t="shared" si="21"/>
        <v>0.001936134423</v>
      </c>
      <c r="AT293" s="5"/>
      <c r="AU293" s="49">
        <f t="shared" si="27"/>
        <v>25108.28</v>
      </c>
      <c r="AV293" s="50">
        <f t="shared" si="23"/>
        <v>1</v>
      </c>
      <c r="AW293" s="51">
        <f t="shared" si="24"/>
        <v>0.002436085326</v>
      </c>
      <c r="AX293" s="52">
        <f t="shared" si="25"/>
        <v>0.001070847817</v>
      </c>
      <c r="AY293" s="5"/>
      <c r="AZ293" s="53">
        <f t="shared" si="26"/>
        <v>1</v>
      </c>
      <c r="BA293" s="5"/>
      <c r="BB293" s="5"/>
      <c r="BC293" s="5"/>
    </row>
    <row r="294" ht="12.75" customHeight="1">
      <c r="A294" s="25"/>
      <c r="B294" s="27" t="s">
        <v>543</v>
      </c>
      <c r="C294" s="27"/>
      <c r="D294" s="28">
        <v>24752.4</v>
      </c>
      <c r="E294" s="29" t="s">
        <v>49</v>
      </c>
      <c r="F294" s="30">
        <v>42032.0</v>
      </c>
      <c r="G294" s="30" t="s">
        <v>40</v>
      </c>
      <c r="H294" s="30">
        <v>42213.0</v>
      </c>
      <c r="I294" s="32">
        <f t="shared" si="1"/>
        <v>6.033333333</v>
      </c>
      <c r="J294" s="33" t="s">
        <v>544</v>
      </c>
      <c r="K294" s="34">
        <v>20000.0</v>
      </c>
      <c r="L294" s="115">
        <v>1199.82</v>
      </c>
      <c r="M294" s="35">
        <v>1218.38</v>
      </c>
      <c r="N294" s="35">
        <v>0.0</v>
      </c>
      <c r="O294" s="35">
        <f t="shared" si="65"/>
        <v>4752.4</v>
      </c>
      <c r="P294" s="35">
        <f t="shared" si="3"/>
        <v>7170.6</v>
      </c>
      <c r="Q294" s="36">
        <f t="shared" si="4"/>
        <v>0.2896931207</v>
      </c>
      <c r="R294" s="36">
        <f t="shared" si="5"/>
        <v>0.7103068793</v>
      </c>
      <c r="S294" s="37"/>
      <c r="T294" s="5"/>
      <c r="U294" s="54">
        <f>8.19+200.49+39+6.12</f>
        <v>253.8</v>
      </c>
      <c r="V294" s="55">
        <f>1493.41</f>
        <v>1493.41</v>
      </c>
      <c r="W294" s="55">
        <f t="shared" si="62"/>
        <v>1747.21</v>
      </c>
      <c r="X294" s="56">
        <v>0.0775</v>
      </c>
      <c r="Y294" s="55">
        <f t="shared" si="63"/>
        <v>946.0163836</v>
      </c>
      <c r="Z294" s="55">
        <f t="shared" si="43"/>
        <v>946.0163836</v>
      </c>
      <c r="AA294" s="57">
        <f t="shared" si="44"/>
        <v>1199.816384</v>
      </c>
      <c r="AB294" s="5"/>
      <c r="AC294" s="42">
        <f t="shared" si="6"/>
        <v>1</v>
      </c>
      <c r="AD294" s="3">
        <f t="shared" si="7"/>
        <v>1</v>
      </c>
      <c r="AE294" s="3">
        <f t="shared" si="8"/>
        <v>1</v>
      </c>
      <c r="AF294" s="43">
        <f t="shared" si="9"/>
        <v>1218.38</v>
      </c>
      <c r="AG294" s="44">
        <f t="shared" si="10"/>
        <v>24752.4</v>
      </c>
      <c r="AH294" s="45">
        <f t="shared" si="11"/>
        <v>6.033333333</v>
      </c>
      <c r="AI294" s="46">
        <f t="shared" si="12"/>
        <v>0.005356494946</v>
      </c>
      <c r="AJ294" s="47">
        <f t="shared" si="13"/>
        <v>0.001551739737</v>
      </c>
      <c r="AK294" s="5"/>
      <c r="AL294" s="42">
        <f t="shared" si="14"/>
        <v>0</v>
      </c>
      <c r="AM294" s="3">
        <f t="shared" si="15"/>
        <v>1</v>
      </c>
      <c r="AN294" s="3">
        <f t="shared" si="16"/>
        <v>0</v>
      </c>
      <c r="AO294" s="3">
        <f t="shared" si="17"/>
        <v>0</v>
      </c>
      <c r="AP294" s="44">
        <f t="shared" si="18"/>
        <v>0</v>
      </c>
      <c r="AQ294" s="48">
        <f t="shared" si="19"/>
        <v>0</v>
      </c>
      <c r="AR294" s="46">
        <f t="shared" si="20"/>
        <v>0</v>
      </c>
      <c r="AS294" s="47">
        <f t="shared" si="21"/>
        <v>0</v>
      </c>
      <c r="AT294" s="5"/>
      <c r="AU294" s="49">
        <f t="shared" si="27"/>
        <v>24752.4</v>
      </c>
      <c r="AV294" s="50">
        <f t="shared" si="23"/>
        <v>1</v>
      </c>
      <c r="AW294" s="51">
        <f t="shared" si="24"/>
        <v>0.002401556715</v>
      </c>
      <c r="AX294" s="52">
        <f t="shared" si="25"/>
        <v>0.0006957144591</v>
      </c>
      <c r="AY294" s="5"/>
      <c r="AZ294" s="53">
        <f t="shared" si="26"/>
        <v>1</v>
      </c>
      <c r="BA294" s="5"/>
      <c r="BB294" s="5"/>
      <c r="BC294" s="5"/>
    </row>
    <row r="295" ht="12.75" customHeight="1">
      <c r="A295" s="25"/>
      <c r="B295" s="27" t="s">
        <v>545</v>
      </c>
      <c r="C295" s="27"/>
      <c r="D295" s="28">
        <v>35054.0</v>
      </c>
      <c r="E295" s="29" t="s">
        <v>49</v>
      </c>
      <c r="F295" s="30">
        <v>42034.0</v>
      </c>
      <c r="G295" s="117" t="s">
        <v>40</v>
      </c>
      <c r="H295" s="30">
        <v>42246.0</v>
      </c>
      <c r="I295" s="32">
        <f t="shared" si="1"/>
        <v>7.066666667</v>
      </c>
      <c r="J295" s="33" t="s">
        <v>129</v>
      </c>
      <c r="K295" s="34">
        <v>45000.0</v>
      </c>
      <c r="L295" s="115">
        <v>2268.35</v>
      </c>
      <c r="M295" s="35">
        <v>5611.88</v>
      </c>
      <c r="N295" s="35">
        <v>0.0</v>
      </c>
      <c r="O295" s="35">
        <f t="shared" si="65"/>
        <v>0</v>
      </c>
      <c r="P295" s="35">
        <f t="shared" si="3"/>
        <v>0</v>
      </c>
      <c r="Q295" s="36">
        <f t="shared" si="4"/>
        <v>0</v>
      </c>
      <c r="R295" s="36">
        <f t="shared" si="5"/>
        <v>1</v>
      </c>
      <c r="S295" s="37"/>
      <c r="T295" s="5"/>
      <c r="U295" s="54">
        <v>928.61</v>
      </c>
      <c r="V295" s="55">
        <v>7328.52</v>
      </c>
      <c r="W295" s="55">
        <f t="shared" si="62"/>
        <v>8257.13</v>
      </c>
      <c r="X295" s="56">
        <v>0.0775</v>
      </c>
      <c r="Y295" s="55">
        <f t="shared" si="63"/>
        <v>1339.735068</v>
      </c>
      <c r="Z295" s="55">
        <f t="shared" si="43"/>
        <v>1339.735068</v>
      </c>
      <c r="AA295" s="57">
        <f t="shared" si="44"/>
        <v>2268.345068</v>
      </c>
      <c r="AB295" s="5"/>
      <c r="AC295" s="42">
        <f t="shared" si="6"/>
        <v>1</v>
      </c>
      <c r="AD295" s="3">
        <f t="shared" si="7"/>
        <v>1</v>
      </c>
      <c r="AE295" s="3">
        <f t="shared" si="8"/>
        <v>1</v>
      </c>
      <c r="AF295" s="43">
        <f t="shared" si="9"/>
        <v>5611.88</v>
      </c>
      <c r="AG295" s="44">
        <f t="shared" si="10"/>
        <v>35054</v>
      </c>
      <c r="AH295" s="45">
        <f t="shared" si="11"/>
        <v>7.066666667</v>
      </c>
      <c r="AI295" s="46">
        <f t="shared" si="12"/>
        <v>0.007585792644</v>
      </c>
      <c r="AJ295" s="47">
        <f t="shared" si="13"/>
        <v>0</v>
      </c>
      <c r="AK295" s="5"/>
      <c r="AL295" s="42">
        <f t="shared" si="14"/>
        <v>0</v>
      </c>
      <c r="AM295" s="3">
        <f t="shared" si="15"/>
        <v>1</v>
      </c>
      <c r="AN295" s="3">
        <f t="shared" si="16"/>
        <v>0</v>
      </c>
      <c r="AO295" s="3">
        <f t="shared" si="17"/>
        <v>0</v>
      </c>
      <c r="AP295" s="44">
        <f t="shared" si="18"/>
        <v>0</v>
      </c>
      <c r="AQ295" s="48">
        <f t="shared" si="19"/>
        <v>0</v>
      </c>
      <c r="AR295" s="46">
        <f t="shared" si="20"/>
        <v>0</v>
      </c>
      <c r="AS295" s="47">
        <f t="shared" si="21"/>
        <v>0</v>
      </c>
      <c r="AT295" s="5"/>
      <c r="AU295" s="49">
        <f t="shared" si="27"/>
        <v>35054</v>
      </c>
      <c r="AV295" s="50">
        <f t="shared" si="23"/>
        <v>1</v>
      </c>
      <c r="AW295" s="51">
        <f t="shared" si="24"/>
        <v>0.00340105077</v>
      </c>
      <c r="AX295" s="52">
        <f t="shared" si="25"/>
        <v>0</v>
      </c>
      <c r="AY295" s="5"/>
      <c r="AZ295" s="53">
        <f t="shared" si="26"/>
        <v>1</v>
      </c>
      <c r="BA295" s="5"/>
      <c r="BB295" s="5"/>
      <c r="BC295" s="5"/>
    </row>
    <row r="296" ht="12.75" customHeight="1">
      <c r="A296" s="25"/>
      <c r="B296" s="27" t="s">
        <v>546</v>
      </c>
      <c r="C296" s="27"/>
      <c r="D296" s="28">
        <v>39412.75</v>
      </c>
      <c r="E296" s="29" t="s">
        <v>49</v>
      </c>
      <c r="F296" s="30">
        <v>42034.0</v>
      </c>
      <c r="G296" s="30" t="s">
        <v>40</v>
      </c>
      <c r="H296" s="30">
        <v>42369.0</v>
      </c>
      <c r="I296" s="32">
        <f t="shared" si="1"/>
        <v>11.16666667</v>
      </c>
      <c r="J296" s="33" t="s">
        <v>216</v>
      </c>
      <c r="K296" s="34">
        <v>45000.0</v>
      </c>
      <c r="L296" s="115">
        <v>1121.0</v>
      </c>
      <c r="M296" s="35">
        <v>300.0</v>
      </c>
      <c r="N296" s="35">
        <v>75.0</v>
      </c>
      <c r="O296" s="35">
        <f t="shared" si="65"/>
        <v>0</v>
      </c>
      <c r="P296" s="35">
        <f t="shared" si="3"/>
        <v>0</v>
      </c>
      <c r="Q296" s="36">
        <f t="shared" si="4"/>
        <v>0</v>
      </c>
      <c r="R296" s="36">
        <f t="shared" si="5"/>
        <v>1</v>
      </c>
      <c r="S296" s="37"/>
      <c r="T296" s="5"/>
      <c r="U296" s="54">
        <v>137.1</v>
      </c>
      <c r="V296" s="55">
        <v>846.87</v>
      </c>
      <c r="W296" s="55">
        <f t="shared" si="62"/>
        <v>983.97</v>
      </c>
      <c r="X296" s="56">
        <v>0.08</v>
      </c>
      <c r="Y296" s="55">
        <f t="shared" si="63"/>
        <v>1554.913973</v>
      </c>
      <c r="Z296" s="55">
        <f t="shared" si="43"/>
        <v>983.97</v>
      </c>
      <c r="AA296" s="57">
        <f t="shared" si="44"/>
        <v>1121.07</v>
      </c>
      <c r="AB296" s="5"/>
      <c r="AC296" s="42">
        <f t="shared" si="6"/>
        <v>1</v>
      </c>
      <c r="AD296" s="3">
        <f t="shared" si="7"/>
        <v>1</v>
      </c>
      <c r="AE296" s="3">
        <f t="shared" si="8"/>
        <v>1</v>
      </c>
      <c r="AF296" s="43">
        <f t="shared" si="9"/>
        <v>375</v>
      </c>
      <c r="AG296" s="44">
        <f t="shared" si="10"/>
        <v>39412.75</v>
      </c>
      <c r="AH296" s="45">
        <f t="shared" si="11"/>
        <v>11.16666667</v>
      </c>
      <c r="AI296" s="46">
        <f t="shared" si="12"/>
        <v>0.008529039455</v>
      </c>
      <c r="AJ296" s="47">
        <f t="shared" si="13"/>
        <v>0</v>
      </c>
      <c r="AK296" s="5"/>
      <c r="AL296" s="42">
        <f t="shared" si="14"/>
        <v>0</v>
      </c>
      <c r="AM296" s="3">
        <f t="shared" si="15"/>
        <v>1</v>
      </c>
      <c r="AN296" s="3">
        <f t="shared" si="16"/>
        <v>0</v>
      </c>
      <c r="AO296" s="3">
        <f t="shared" si="17"/>
        <v>0</v>
      </c>
      <c r="AP296" s="44">
        <f t="shared" si="18"/>
        <v>0</v>
      </c>
      <c r="AQ296" s="48">
        <f t="shared" si="19"/>
        <v>0</v>
      </c>
      <c r="AR296" s="46">
        <f t="shared" si="20"/>
        <v>0</v>
      </c>
      <c r="AS296" s="47">
        <f t="shared" si="21"/>
        <v>0</v>
      </c>
      <c r="AT296" s="5"/>
      <c r="AU296" s="49">
        <f t="shared" si="27"/>
        <v>39412.75</v>
      </c>
      <c r="AV296" s="50">
        <f t="shared" si="23"/>
        <v>1</v>
      </c>
      <c r="AW296" s="51">
        <f t="shared" si="24"/>
        <v>0.003823950583</v>
      </c>
      <c r="AX296" s="52">
        <f t="shared" si="25"/>
        <v>0</v>
      </c>
      <c r="AY296" s="5"/>
      <c r="AZ296" s="53">
        <f t="shared" si="26"/>
        <v>1</v>
      </c>
      <c r="BA296" s="5"/>
      <c r="BB296" s="5"/>
      <c r="BC296" s="5"/>
    </row>
    <row r="297" ht="12.75" customHeight="1">
      <c r="A297" s="25"/>
      <c r="B297" s="27" t="s">
        <v>547</v>
      </c>
      <c r="C297" s="27">
        <v>22100.0</v>
      </c>
      <c r="D297" s="28">
        <v>16063.0</v>
      </c>
      <c r="E297" s="29" t="s">
        <v>39</v>
      </c>
      <c r="F297" s="30">
        <v>42034.0</v>
      </c>
      <c r="G297" s="30" t="s">
        <v>40</v>
      </c>
      <c r="H297" s="30">
        <v>42459.0</v>
      </c>
      <c r="I297" s="32">
        <f t="shared" si="1"/>
        <v>14.16666667</v>
      </c>
      <c r="J297" s="33" t="s">
        <v>548</v>
      </c>
      <c r="K297" s="34">
        <v>14000.0</v>
      </c>
      <c r="L297" s="115">
        <v>1013.05</v>
      </c>
      <c r="M297" s="35">
        <v>1222.04</v>
      </c>
      <c r="N297" s="35">
        <v>0.0</v>
      </c>
      <c r="O297" s="35">
        <f t="shared" si="65"/>
        <v>2063</v>
      </c>
      <c r="P297" s="35">
        <f t="shared" si="3"/>
        <v>4298.09</v>
      </c>
      <c r="Q297" s="36">
        <f t="shared" si="4"/>
        <v>0.2675770404</v>
      </c>
      <c r="R297" s="36">
        <f t="shared" si="5"/>
        <v>0.7324229596</v>
      </c>
      <c r="S297" s="37"/>
      <c r="T297" s="5"/>
      <c r="U297" s="54">
        <v>201.1</v>
      </c>
      <c r="V297" s="55">
        <v>1593.87</v>
      </c>
      <c r="W297" s="55">
        <f t="shared" si="62"/>
        <v>1794.97</v>
      </c>
      <c r="X297" s="56">
        <v>0.1025</v>
      </c>
      <c r="Y297" s="55">
        <f t="shared" si="63"/>
        <v>811.9516438</v>
      </c>
      <c r="Z297" s="55">
        <f t="shared" si="43"/>
        <v>811.9516438</v>
      </c>
      <c r="AA297" s="57">
        <f t="shared" si="44"/>
        <v>1013.051644</v>
      </c>
      <c r="AB297" s="5"/>
      <c r="AC297" s="42">
        <f t="shared" si="6"/>
        <v>0</v>
      </c>
      <c r="AD297" s="3">
        <f t="shared" si="7"/>
        <v>1</v>
      </c>
      <c r="AE297" s="3">
        <f t="shared" si="8"/>
        <v>0</v>
      </c>
      <c r="AF297" s="43">
        <f t="shared" si="9"/>
        <v>0</v>
      </c>
      <c r="AG297" s="44">
        <f t="shared" si="10"/>
        <v>0</v>
      </c>
      <c r="AH297" s="45">
        <f t="shared" si="11"/>
        <v>0</v>
      </c>
      <c r="AI297" s="46">
        <f t="shared" si="12"/>
        <v>0</v>
      </c>
      <c r="AJ297" s="47">
        <f t="shared" si="13"/>
        <v>0</v>
      </c>
      <c r="AK297" s="5"/>
      <c r="AL297" s="42">
        <f t="shared" si="14"/>
        <v>1</v>
      </c>
      <c r="AM297" s="3">
        <f t="shared" si="15"/>
        <v>1</v>
      </c>
      <c r="AN297" s="3">
        <f t="shared" si="16"/>
        <v>1</v>
      </c>
      <c r="AO297" s="3">
        <f t="shared" si="17"/>
        <v>1222.04</v>
      </c>
      <c r="AP297" s="44">
        <f t="shared" si="18"/>
        <v>16063</v>
      </c>
      <c r="AQ297" s="48">
        <f t="shared" si="19"/>
        <v>14.16666667</v>
      </c>
      <c r="AR297" s="46">
        <f t="shared" si="20"/>
        <v>0.002817798559</v>
      </c>
      <c r="AS297" s="47">
        <f t="shared" si="21"/>
        <v>0.000753978199</v>
      </c>
      <c r="AT297" s="5"/>
      <c r="AU297" s="49">
        <f t="shared" si="27"/>
        <v>16063</v>
      </c>
      <c r="AV297" s="50">
        <f t="shared" si="23"/>
        <v>1</v>
      </c>
      <c r="AW297" s="51">
        <f t="shared" si="24"/>
        <v>0.00155848344</v>
      </c>
      <c r="AX297" s="52">
        <f t="shared" si="25"/>
        <v>0.0004170143864</v>
      </c>
      <c r="AY297" s="5"/>
      <c r="AZ297" s="53">
        <f t="shared" si="26"/>
        <v>1</v>
      </c>
      <c r="BA297" s="5"/>
      <c r="BB297" s="5"/>
      <c r="BC297" s="5"/>
    </row>
    <row r="298" ht="12.75" customHeight="1">
      <c r="A298" s="25"/>
      <c r="B298" s="27" t="s">
        <v>549</v>
      </c>
      <c r="C298" s="27">
        <v>57007.8</v>
      </c>
      <c r="D298" s="28">
        <v>56138.27</v>
      </c>
      <c r="E298" s="29" t="s">
        <v>49</v>
      </c>
      <c r="F298" s="30">
        <v>42063.0</v>
      </c>
      <c r="G298" s="30" t="s">
        <v>40</v>
      </c>
      <c r="H298" s="30">
        <v>42519.0</v>
      </c>
      <c r="I298" s="32">
        <f t="shared" si="1"/>
        <v>15.2</v>
      </c>
      <c r="J298" s="33" t="s">
        <v>550</v>
      </c>
      <c r="K298" s="34">
        <v>70000.0</v>
      </c>
      <c r="L298" s="115">
        <v>3654.33</v>
      </c>
      <c r="M298" s="35">
        <v>2117.21</v>
      </c>
      <c r="N298" s="35">
        <v>0.0</v>
      </c>
      <c r="O298" s="35">
        <f t="shared" si="65"/>
        <v>0</v>
      </c>
      <c r="P298" s="35">
        <f t="shared" si="3"/>
        <v>0</v>
      </c>
      <c r="Q298" s="36">
        <f t="shared" si="4"/>
        <v>0</v>
      </c>
      <c r="R298" s="36">
        <f t="shared" si="5"/>
        <v>1</v>
      </c>
      <c r="S298" s="37"/>
      <c r="T298" s="5"/>
      <c r="U298" s="54">
        <v>1577.98</v>
      </c>
      <c r="V298" s="55">
        <v>10816.25</v>
      </c>
      <c r="W298" s="55">
        <f t="shared" si="62"/>
        <v>12394.23</v>
      </c>
      <c r="X298" s="56">
        <v>0.075</v>
      </c>
      <c r="Y298" s="55">
        <f t="shared" si="63"/>
        <v>2076.346973</v>
      </c>
      <c r="Z298" s="55">
        <f t="shared" si="43"/>
        <v>2076.346973</v>
      </c>
      <c r="AA298" s="57">
        <f t="shared" si="44"/>
        <v>3654.326973</v>
      </c>
      <c r="AB298" s="5"/>
      <c r="AC298" s="42">
        <f t="shared" si="6"/>
        <v>1</v>
      </c>
      <c r="AD298" s="3">
        <f t="shared" si="7"/>
        <v>1</v>
      </c>
      <c r="AE298" s="3">
        <f t="shared" si="8"/>
        <v>1</v>
      </c>
      <c r="AF298" s="43">
        <f t="shared" si="9"/>
        <v>2117.21</v>
      </c>
      <c r="AG298" s="44">
        <f t="shared" si="10"/>
        <v>56138.27</v>
      </c>
      <c r="AH298" s="45">
        <f t="shared" si="11"/>
        <v>15.2</v>
      </c>
      <c r="AI298" s="46">
        <f t="shared" si="12"/>
        <v>0.01214849306</v>
      </c>
      <c r="AJ298" s="47">
        <f t="shared" si="13"/>
        <v>0</v>
      </c>
      <c r="AK298" s="5"/>
      <c r="AL298" s="42">
        <f t="shared" si="14"/>
        <v>0</v>
      </c>
      <c r="AM298" s="3">
        <f t="shared" si="15"/>
        <v>1</v>
      </c>
      <c r="AN298" s="3">
        <f t="shared" si="16"/>
        <v>0</v>
      </c>
      <c r="AO298" s="3">
        <f t="shared" si="17"/>
        <v>0</v>
      </c>
      <c r="AP298" s="44">
        <f t="shared" si="18"/>
        <v>0</v>
      </c>
      <c r="AQ298" s="48">
        <f t="shared" si="19"/>
        <v>0</v>
      </c>
      <c r="AR298" s="46">
        <f t="shared" si="20"/>
        <v>0</v>
      </c>
      <c r="AS298" s="47">
        <f t="shared" si="21"/>
        <v>0</v>
      </c>
      <c r="AT298" s="5"/>
      <c r="AU298" s="49">
        <f t="shared" si="27"/>
        <v>56138.27</v>
      </c>
      <c r="AV298" s="50">
        <f t="shared" si="23"/>
        <v>1</v>
      </c>
      <c r="AW298" s="51">
        <f t="shared" si="24"/>
        <v>0.005446713824</v>
      </c>
      <c r="AX298" s="52">
        <f t="shared" si="25"/>
        <v>0</v>
      </c>
      <c r="AY298" s="5"/>
      <c r="AZ298" s="53">
        <f t="shared" si="26"/>
        <v>1</v>
      </c>
      <c r="BA298" s="5"/>
      <c r="BB298" s="5"/>
      <c r="BC298" s="5"/>
    </row>
    <row r="299" ht="12.75" customHeight="1">
      <c r="A299" s="25"/>
      <c r="B299" s="27" t="s">
        <v>551</v>
      </c>
      <c r="C299" s="27"/>
      <c r="D299" s="28">
        <v>12362.27</v>
      </c>
      <c r="E299" s="29" t="s">
        <v>39</v>
      </c>
      <c r="F299" s="30">
        <v>42122.0</v>
      </c>
      <c r="G299" s="30" t="s">
        <v>40</v>
      </c>
      <c r="H299" s="30">
        <v>42152.0</v>
      </c>
      <c r="I299" s="32">
        <f t="shared" si="1"/>
        <v>1</v>
      </c>
      <c r="J299" s="33" t="s">
        <v>552</v>
      </c>
      <c r="K299" s="34">
        <v>14550.0</v>
      </c>
      <c r="L299" s="115">
        <v>731.51</v>
      </c>
      <c r="M299" s="35">
        <v>892.3</v>
      </c>
      <c r="N299" s="35">
        <v>0.0</v>
      </c>
      <c r="O299" s="35">
        <f t="shared" si="65"/>
        <v>0</v>
      </c>
      <c r="P299" s="35">
        <f t="shared" si="3"/>
        <v>0</v>
      </c>
      <c r="Q299" s="36">
        <f t="shared" si="4"/>
        <v>0</v>
      </c>
      <c r="R299" s="36">
        <f t="shared" si="5"/>
        <v>1</v>
      </c>
      <c r="S299" s="37"/>
      <c r="T299" s="5"/>
      <c r="U299" s="54">
        <v>137.1</v>
      </c>
      <c r="V299" s="55">
        <v>846.87</v>
      </c>
      <c r="W299" s="55">
        <f t="shared" si="62"/>
        <v>983.97</v>
      </c>
      <c r="X299" s="56">
        <v>0.0975</v>
      </c>
      <c r="Y299" s="55">
        <f t="shared" si="63"/>
        <v>594.405037</v>
      </c>
      <c r="Z299" s="55">
        <f t="shared" si="43"/>
        <v>594.405037</v>
      </c>
      <c r="AA299" s="57">
        <f t="shared" si="44"/>
        <v>731.505037</v>
      </c>
      <c r="AB299" s="5"/>
      <c r="AC299" s="42">
        <f t="shared" si="6"/>
        <v>0</v>
      </c>
      <c r="AD299" s="3">
        <f t="shared" si="7"/>
        <v>1</v>
      </c>
      <c r="AE299" s="3">
        <f t="shared" si="8"/>
        <v>0</v>
      </c>
      <c r="AF299" s="43">
        <f t="shared" si="9"/>
        <v>0</v>
      </c>
      <c r="AG299" s="44">
        <f t="shared" si="10"/>
        <v>0</v>
      </c>
      <c r="AH299" s="45">
        <f t="shared" si="11"/>
        <v>0</v>
      </c>
      <c r="AI299" s="46">
        <f t="shared" si="12"/>
        <v>0</v>
      </c>
      <c r="AJ299" s="47">
        <f t="shared" si="13"/>
        <v>0</v>
      </c>
      <c r="AK299" s="5"/>
      <c r="AL299" s="42">
        <f t="shared" si="14"/>
        <v>1</v>
      </c>
      <c r="AM299" s="3">
        <f t="shared" si="15"/>
        <v>1</v>
      </c>
      <c r="AN299" s="3">
        <f t="shared" si="16"/>
        <v>1</v>
      </c>
      <c r="AO299" s="3">
        <f t="shared" si="17"/>
        <v>892.3</v>
      </c>
      <c r="AP299" s="44">
        <f t="shared" si="18"/>
        <v>12362.27</v>
      </c>
      <c r="AQ299" s="48">
        <f t="shared" si="19"/>
        <v>1</v>
      </c>
      <c r="AR299" s="46">
        <f t="shared" si="20"/>
        <v>0.002168610259</v>
      </c>
      <c r="AS299" s="47">
        <f t="shared" si="21"/>
        <v>0</v>
      </c>
      <c r="AT299" s="5"/>
      <c r="AU299" s="49">
        <f t="shared" si="27"/>
        <v>12362.27</v>
      </c>
      <c r="AV299" s="50">
        <f t="shared" si="23"/>
        <v>1</v>
      </c>
      <c r="AW299" s="51">
        <f t="shared" si="24"/>
        <v>0.001199426824</v>
      </c>
      <c r="AX299" s="52">
        <f t="shared" si="25"/>
        <v>0</v>
      </c>
      <c r="AY299" s="5"/>
      <c r="AZ299" s="53">
        <f t="shared" si="26"/>
        <v>1</v>
      </c>
      <c r="BA299" s="5"/>
      <c r="BB299" s="5"/>
      <c r="BC299" s="5"/>
    </row>
    <row r="300" ht="12.75" customHeight="1">
      <c r="A300" s="25"/>
      <c r="B300" s="27" t="s">
        <v>553</v>
      </c>
      <c r="C300" s="27"/>
      <c r="D300" s="28">
        <v>8411.13</v>
      </c>
      <c r="E300" s="29" t="s">
        <v>39</v>
      </c>
      <c r="F300" s="30">
        <v>42152.0</v>
      </c>
      <c r="G300" s="30" t="s">
        <v>40</v>
      </c>
      <c r="H300" s="30">
        <v>42244.0</v>
      </c>
      <c r="I300" s="32">
        <f t="shared" si="1"/>
        <v>3.066666667</v>
      </c>
      <c r="J300" s="33" t="s">
        <v>129</v>
      </c>
      <c r="K300" s="34">
        <v>10000.0</v>
      </c>
      <c r="L300" s="115">
        <v>496.04</v>
      </c>
      <c r="M300" s="35">
        <v>0.0</v>
      </c>
      <c r="N300" s="35">
        <v>0.0</v>
      </c>
      <c r="O300" s="35">
        <f t="shared" si="65"/>
        <v>0</v>
      </c>
      <c r="P300" s="35">
        <f t="shared" si="3"/>
        <v>0</v>
      </c>
      <c r="Q300" s="36">
        <f t="shared" si="4"/>
        <v>0</v>
      </c>
      <c r="R300" s="36">
        <f t="shared" si="5"/>
        <v>1</v>
      </c>
      <c r="S300" s="37"/>
      <c r="T300" s="5"/>
      <c r="U300" s="54">
        <v>128.95</v>
      </c>
      <c r="V300" s="55">
        <v>636.32</v>
      </c>
      <c r="W300" s="55">
        <f t="shared" si="62"/>
        <v>765.27</v>
      </c>
      <c r="X300" s="56">
        <v>0.0885</v>
      </c>
      <c r="Y300" s="55">
        <f t="shared" si="63"/>
        <v>367.0939751</v>
      </c>
      <c r="Z300" s="55">
        <f t="shared" si="43"/>
        <v>367.0939751</v>
      </c>
      <c r="AA300" s="57">
        <f t="shared" si="44"/>
        <v>496.0439751</v>
      </c>
      <c r="AB300" s="5"/>
      <c r="AC300" s="42">
        <f t="shared" si="6"/>
        <v>0</v>
      </c>
      <c r="AD300" s="3">
        <f t="shared" si="7"/>
        <v>1</v>
      </c>
      <c r="AE300" s="3">
        <f t="shared" si="8"/>
        <v>0</v>
      </c>
      <c r="AF300" s="43">
        <f t="shared" si="9"/>
        <v>0</v>
      </c>
      <c r="AG300" s="44">
        <f t="shared" si="10"/>
        <v>0</v>
      </c>
      <c r="AH300" s="45">
        <f t="shared" si="11"/>
        <v>0</v>
      </c>
      <c r="AI300" s="46">
        <f t="shared" si="12"/>
        <v>0</v>
      </c>
      <c r="AJ300" s="47">
        <f t="shared" si="13"/>
        <v>0</v>
      </c>
      <c r="AK300" s="5"/>
      <c r="AL300" s="42">
        <f t="shared" si="14"/>
        <v>1</v>
      </c>
      <c r="AM300" s="3">
        <f t="shared" si="15"/>
        <v>1</v>
      </c>
      <c r="AN300" s="3">
        <f t="shared" si="16"/>
        <v>1</v>
      </c>
      <c r="AO300" s="3">
        <f t="shared" si="17"/>
        <v>0</v>
      </c>
      <c r="AP300" s="44">
        <f t="shared" si="18"/>
        <v>8411.13</v>
      </c>
      <c r="AQ300" s="48">
        <f t="shared" si="19"/>
        <v>3.066666667</v>
      </c>
      <c r="AR300" s="46">
        <f t="shared" si="20"/>
        <v>0.001475494615</v>
      </c>
      <c r="AS300" s="47">
        <f t="shared" si="21"/>
        <v>0</v>
      </c>
      <c r="AT300" s="5"/>
      <c r="AU300" s="49">
        <f t="shared" si="27"/>
        <v>8411.13</v>
      </c>
      <c r="AV300" s="50">
        <f t="shared" si="23"/>
        <v>1</v>
      </c>
      <c r="AW300" s="51">
        <f t="shared" si="24"/>
        <v>0.0008160746323</v>
      </c>
      <c r="AX300" s="52">
        <f t="shared" si="25"/>
        <v>0</v>
      </c>
      <c r="AY300" s="5"/>
      <c r="AZ300" s="53">
        <f t="shared" si="26"/>
        <v>1</v>
      </c>
      <c r="BA300" s="5"/>
      <c r="BB300" s="5"/>
      <c r="BC300" s="5"/>
    </row>
    <row r="301" ht="12.75" customHeight="1">
      <c r="A301" s="25"/>
      <c r="B301" s="27" t="s">
        <v>554</v>
      </c>
      <c r="C301" s="27"/>
      <c r="D301" s="28">
        <v>13887.11</v>
      </c>
      <c r="E301" s="29" t="s">
        <v>39</v>
      </c>
      <c r="F301" s="30">
        <v>42152.0</v>
      </c>
      <c r="G301" s="30" t="s">
        <v>40</v>
      </c>
      <c r="H301" s="30">
        <v>42247.0</v>
      </c>
      <c r="I301" s="32">
        <f t="shared" si="1"/>
        <v>3.166666667</v>
      </c>
      <c r="J301" s="33" t="s">
        <v>216</v>
      </c>
      <c r="K301" s="106">
        <v>11000.0</v>
      </c>
      <c r="L301" s="115">
        <v>750.08</v>
      </c>
      <c r="M301" s="35">
        <v>0.0</v>
      </c>
      <c r="N301" s="35">
        <v>0.0</v>
      </c>
      <c r="O301" s="35">
        <f t="shared" si="65"/>
        <v>2887.11</v>
      </c>
      <c r="P301" s="35">
        <f t="shared" si="3"/>
        <v>3637.19</v>
      </c>
      <c r="Q301" s="36">
        <f t="shared" si="4"/>
        <v>0.2619112256</v>
      </c>
      <c r="R301" s="36">
        <f t="shared" si="5"/>
        <v>0.7380887744</v>
      </c>
      <c r="S301" s="37"/>
      <c r="T301" s="5"/>
      <c r="U301" s="54">
        <f>14.5+57.3+34.9+18.8</f>
        <v>125.5</v>
      </c>
      <c r="V301" s="55">
        <v>975.34</v>
      </c>
      <c r="W301" s="55">
        <f t="shared" si="62"/>
        <v>1100.84</v>
      </c>
      <c r="X301" s="56">
        <v>0.0912</v>
      </c>
      <c r="Y301" s="55">
        <f t="shared" si="63"/>
        <v>624.5775281</v>
      </c>
      <c r="Z301" s="55">
        <f t="shared" si="43"/>
        <v>624.5775281</v>
      </c>
      <c r="AA301" s="57">
        <f t="shared" si="44"/>
        <v>750.0775281</v>
      </c>
      <c r="AB301" s="5"/>
      <c r="AC301" s="42">
        <f t="shared" si="6"/>
        <v>0</v>
      </c>
      <c r="AD301" s="3">
        <f t="shared" si="7"/>
        <v>1</v>
      </c>
      <c r="AE301" s="3">
        <f t="shared" si="8"/>
        <v>0</v>
      </c>
      <c r="AF301" s="43">
        <f t="shared" si="9"/>
        <v>0</v>
      </c>
      <c r="AG301" s="44">
        <f t="shared" si="10"/>
        <v>0</v>
      </c>
      <c r="AH301" s="45">
        <f t="shared" si="11"/>
        <v>0</v>
      </c>
      <c r="AI301" s="46">
        <f t="shared" si="12"/>
        <v>0</v>
      </c>
      <c r="AJ301" s="47">
        <f t="shared" si="13"/>
        <v>0</v>
      </c>
      <c r="AK301" s="5"/>
      <c r="AL301" s="42">
        <f t="shared" si="14"/>
        <v>1</v>
      </c>
      <c r="AM301" s="3">
        <f t="shared" si="15"/>
        <v>1</v>
      </c>
      <c r="AN301" s="3">
        <f t="shared" si="16"/>
        <v>1</v>
      </c>
      <c r="AO301" s="3">
        <f t="shared" si="17"/>
        <v>0</v>
      </c>
      <c r="AP301" s="44">
        <f t="shared" si="18"/>
        <v>13887.11</v>
      </c>
      <c r="AQ301" s="48">
        <f t="shared" si="19"/>
        <v>3.166666667</v>
      </c>
      <c r="AR301" s="46">
        <f t="shared" si="20"/>
        <v>0.002436100265</v>
      </c>
      <c r="AS301" s="47">
        <f t="shared" si="21"/>
        <v>0.000638042006</v>
      </c>
      <c r="AT301" s="5"/>
      <c r="AU301" s="49">
        <f t="shared" si="27"/>
        <v>13887.11</v>
      </c>
      <c r="AV301" s="50">
        <f t="shared" si="23"/>
        <v>1</v>
      </c>
      <c r="AW301" s="51">
        <f t="shared" si="24"/>
        <v>0.00134737166</v>
      </c>
      <c r="AX301" s="52">
        <f t="shared" si="25"/>
        <v>0.0003528917627</v>
      </c>
      <c r="AY301" s="5"/>
      <c r="AZ301" s="53">
        <f t="shared" si="26"/>
        <v>1</v>
      </c>
      <c r="BA301" s="5"/>
      <c r="BB301" s="5"/>
      <c r="BC301" s="5"/>
    </row>
    <row r="302" ht="12.75" customHeight="1">
      <c r="A302" s="25"/>
      <c r="B302" s="27" t="s">
        <v>555</v>
      </c>
      <c r="C302" s="27"/>
      <c r="D302" s="28">
        <v>19996.69</v>
      </c>
      <c r="E302" s="29" t="s">
        <v>49</v>
      </c>
      <c r="F302" s="30">
        <v>42183.0</v>
      </c>
      <c r="G302" s="30" t="s">
        <v>40</v>
      </c>
      <c r="H302" s="30">
        <v>42369.0</v>
      </c>
      <c r="I302" s="32">
        <f t="shared" si="1"/>
        <v>6.2</v>
      </c>
      <c r="J302" s="33" t="s">
        <v>556</v>
      </c>
      <c r="K302" s="34">
        <v>25000.0</v>
      </c>
      <c r="L302" s="115">
        <v>1355.66</v>
      </c>
      <c r="M302" s="35">
        <v>883.34</v>
      </c>
      <c r="N302" s="35">
        <v>41.81</v>
      </c>
      <c r="O302" s="35">
        <f t="shared" si="65"/>
        <v>0</v>
      </c>
      <c r="P302" s="35">
        <f t="shared" si="3"/>
        <v>0</v>
      </c>
      <c r="Q302" s="36">
        <f t="shared" si="4"/>
        <v>0</v>
      </c>
      <c r="R302" s="36">
        <f t="shared" si="5"/>
        <v>1</v>
      </c>
      <c r="S302" s="37"/>
      <c r="T302" s="5"/>
      <c r="U302" s="54">
        <v>591.4</v>
      </c>
      <c r="V302" s="55">
        <v>4715.82</v>
      </c>
      <c r="W302" s="55">
        <f t="shared" si="62"/>
        <v>5307.22</v>
      </c>
      <c r="X302" s="56">
        <v>0.0775</v>
      </c>
      <c r="Y302" s="55">
        <f t="shared" si="63"/>
        <v>764.2570562</v>
      </c>
      <c r="Z302" s="55">
        <f t="shared" si="43"/>
        <v>764.2570562</v>
      </c>
      <c r="AA302" s="57">
        <f t="shared" si="44"/>
        <v>1355.657056</v>
      </c>
      <c r="AB302" s="5"/>
      <c r="AC302" s="42">
        <f t="shared" si="6"/>
        <v>1</v>
      </c>
      <c r="AD302" s="3">
        <f t="shared" si="7"/>
        <v>1</v>
      </c>
      <c r="AE302" s="3">
        <f t="shared" si="8"/>
        <v>1</v>
      </c>
      <c r="AF302" s="43">
        <f t="shared" si="9"/>
        <v>925.15</v>
      </c>
      <c r="AG302" s="44">
        <f t="shared" si="10"/>
        <v>19996.69</v>
      </c>
      <c r="AH302" s="45">
        <f t="shared" si="11"/>
        <v>6.2</v>
      </c>
      <c r="AI302" s="46">
        <f t="shared" si="12"/>
        <v>0.00432734478</v>
      </c>
      <c r="AJ302" s="47">
        <f t="shared" si="13"/>
        <v>0</v>
      </c>
      <c r="AK302" s="5"/>
      <c r="AL302" s="42">
        <f t="shared" si="14"/>
        <v>0</v>
      </c>
      <c r="AM302" s="3">
        <f t="shared" si="15"/>
        <v>1</v>
      </c>
      <c r="AN302" s="3">
        <f t="shared" si="16"/>
        <v>0</v>
      </c>
      <c r="AO302" s="3">
        <f t="shared" si="17"/>
        <v>0</v>
      </c>
      <c r="AP302" s="44">
        <f t="shared" si="18"/>
        <v>0</v>
      </c>
      <c r="AQ302" s="48">
        <f t="shared" si="19"/>
        <v>0</v>
      </c>
      <c r="AR302" s="46">
        <f t="shared" si="20"/>
        <v>0</v>
      </c>
      <c r="AS302" s="47">
        <f t="shared" si="21"/>
        <v>0</v>
      </c>
      <c r="AT302" s="5"/>
      <c r="AU302" s="49">
        <f t="shared" si="27"/>
        <v>19996.69</v>
      </c>
      <c r="AV302" s="50">
        <f t="shared" si="23"/>
        <v>1</v>
      </c>
      <c r="AW302" s="51">
        <f t="shared" si="24"/>
        <v>0.001940142578</v>
      </c>
      <c r="AX302" s="52">
        <f t="shared" si="25"/>
        <v>0</v>
      </c>
      <c r="AY302" s="5"/>
      <c r="AZ302" s="53">
        <f t="shared" si="26"/>
        <v>1</v>
      </c>
      <c r="BA302" s="5"/>
      <c r="BB302" s="5"/>
      <c r="BC302" s="5"/>
    </row>
    <row r="303" ht="12.75" customHeight="1">
      <c r="A303" s="25"/>
      <c r="B303" s="27" t="s">
        <v>557</v>
      </c>
      <c r="C303" s="27"/>
      <c r="D303" s="28">
        <v>60701.1</v>
      </c>
      <c r="E303" s="29" t="s">
        <v>49</v>
      </c>
      <c r="F303" s="30">
        <v>42216.0</v>
      </c>
      <c r="G303" s="30" t="s">
        <v>40</v>
      </c>
      <c r="H303" s="30">
        <v>42338.0</v>
      </c>
      <c r="I303" s="32">
        <f t="shared" si="1"/>
        <v>4.066666667</v>
      </c>
      <c r="J303" s="33" t="s">
        <v>558</v>
      </c>
      <c r="K303" s="34">
        <v>55000.0</v>
      </c>
      <c r="L303" s="115">
        <v>2483.65</v>
      </c>
      <c r="M303" s="35">
        <v>1801.0</v>
      </c>
      <c r="N303" s="35">
        <v>0.0</v>
      </c>
      <c r="O303" s="35">
        <f t="shared" si="65"/>
        <v>5701.1</v>
      </c>
      <c r="P303" s="35">
        <f t="shared" si="3"/>
        <v>9985.75</v>
      </c>
      <c r="Q303" s="36">
        <f t="shared" si="4"/>
        <v>0.1645069035</v>
      </c>
      <c r="R303" s="36">
        <f t="shared" si="5"/>
        <v>0.8354930965</v>
      </c>
      <c r="S303" s="37"/>
      <c r="T303" s="5"/>
      <c r="U303" s="54">
        <v>358.28</v>
      </c>
      <c r="V303" s="55">
        <v>3210.3</v>
      </c>
      <c r="W303" s="55">
        <f t="shared" si="62"/>
        <v>3568.58</v>
      </c>
      <c r="X303" s="56">
        <v>0.071</v>
      </c>
      <c r="Y303" s="55">
        <f t="shared" si="63"/>
        <v>2125.370022</v>
      </c>
      <c r="Z303" s="55">
        <f t="shared" si="43"/>
        <v>2125.370022</v>
      </c>
      <c r="AA303" s="57">
        <f t="shared" si="44"/>
        <v>2483.650022</v>
      </c>
      <c r="AB303" s="5"/>
      <c r="AC303" s="42">
        <f t="shared" si="6"/>
        <v>1</v>
      </c>
      <c r="AD303" s="3">
        <f t="shared" si="7"/>
        <v>1</v>
      </c>
      <c r="AE303" s="3">
        <f t="shared" si="8"/>
        <v>1</v>
      </c>
      <c r="AF303" s="43">
        <f t="shared" si="9"/>
        <v>1801</v>
      </c>
      <c r="AG303" s="44">
        <f t="shared" si="10"/>
        <v>60701.1</v>
      </c>
      <c r="AH303" s="45">
        <f t="shared" si="11"/>
        <v>4.066666667</v>
      </c>
      <c r="AI303" s="46">
        <f t="shared" si="12"/>
        <v>0.0131359034</v>
      </c>
      <c r="AJ303" s="47">
        <f t="shared" si="13"/>
        <v>0.002160946793</v>
      </c>
      <c r="AK303" s="5"/>
      <c r="AL303" s="42">
        <f t="shared" si="14"/>
        <v>0</v>
      </c>
      <c r="AM303" s="3">
        <f t="shared" si="15"/>
        <v>1</v>
      </c>
      <c r="AN303" s="3">
        <f t="shared" si="16"/>
        <v>0</v>
      </c>
      <c r="AO303" s="3">
        <f t="shared" si="17"/>
        <v>0</v>
      </c>
      <c r="AP303" s="44">
        <f t="shared" si="18"/>
        <v>0</v>
      </c>
      <c r="AQ303" s="48">
        <f t="shared" si="19"/>
        <v>0</v>
      </c>
      <c r="AR303" s="46">
        <f t="shared" si="20"/>
        <v>0</v>
      </c>
      <c r="AS303" s="47">
        <f t="shared" si="21"/>
        <v>0</v>
      </c>
      <c r="AT303" s="5"/>
      <c r="AU303" s="49">
        <f t="shared" si="27"/>
        <v>60701.1</v>
      </c>
      <c r="AV303" s="50">
        <f t="shared" si="23"/>
        <v>1</v>
      </c>
      <c r="AW303" s="51">
        <f t="shared" si="24"/>
        <v>0.005889414129</v>
      </c>
      <c r="AX303" s="52">
        <f t="shared" si="25"/>
        <v>0.0009688492818</v>
      </c>
      <c r="AY303" s="5"/>
      <c r="AZ303" s="53">
        <f t="shared" si="26"/>
        <v>1</v>
      </c>
      <c r="BA303" s="5"/>
      <c r="BB303" s="5"/>
      <c r="BC303" s="5"/>
    </row>
    <row r="304" ht="12.75" customHeight="1">
      <c r="A304" s="25"/>
      <c r="B304" s="27" t="s">
        <v>559</v>
      </c>
      <c r="C304" s="27">
        <v>19000.0</v>
      </c>
      <c r="D304" s="28">
        <v>17036.0</v>
      </c>
      <c r="E304" s="29" t="s">
        <v>49</v>
      </c>
      <c r="F304" s="30">
        <v>42216.0</v>
      </c>
      <c r="G304" s="30" t="s">
        <v>40</v>
      </c>
      <c r="H304" s="30">
        <v>42400.0</v>
      </c>
      <c r="I304" s="32">
        <f t="shared" si="1"/>
        <v>6.133333333</v>
      </c>
      <c r="J304" s="33" t="s">
        <v>216</v>
      </c>
      <c r="K304" s="34">
        <v>18000.0</v>
      </c>
      <c r="L304" s="115">
        <v>906.53</v>
      </c>
      <c r="M304" s="35">
        <v>1384.68</v>
      </c>
      <c r="N304" s="35">
        <v>0.0</v>
      </c>
      <c r="O304" s="35">
        <f t="shared" si="65"/>
        <v>0</v>
      </c>
      <c r="P304" s="35">
        <f t="shared" si="3"/>
        <v>1327.21</v>
      </c>
      <c r="Q304" s="36">
        <f t="shared" si="4"/>
        <v>0.07790619864</v>
      </c>
      <c r="R304" s="36">
        <f t="shared" si="5"/>
        <v>0.9220938014</v>
      </c>
      <c r="S304" s="37"/>
      <c r="T304" s="5"/>
      <c r="U304" s="54">
        <v>163.01</v>
      </c>
      <c r="V304" s="55">
        <v>2278.58</v>
      </c>
      <c r="W304" s="55">
        <f t="shared" si="62"/>
        <v>2441.59</v>
      </c>
      <c r="X304" s="56">
        <v>0.0885</v>
      </c>
      <c r="Y304" s="55">
        <f t="shared" si="63"/>
        <v>743.5163836</v>
      </c>
      <c r="Z304" s="55">
        <f t="shared" si="43"/>
        <v>743.5163836</v>
      </c>
      <c r="AA304" s="57">
        <f t="shared" si="44"/>
        <v>906.5263836</v>
      </c>
      <c r="AB304" s="5"/>
      <c r="AC304" s="42">
        <f t="shared" si="6"/>
        <v>1</v>
      </c>
      <c r="AD304" s="3">
        <f t="shared" si="7"/>
        <v>1</v>
      </c>
      <c r="AE304" s="3">
        <f t="shared" si="8"/>
        <v>1</v>
      </c>
      <c r="AF304" s="43">
        <f t="shared" si="9"/>
        <v>1384.68</v>
      </c>
      <c r="AG304" s="44">
        <f t="shared" si="10"/>
        <v>17036</v>
      </c>
      <c r="AH304" s="45">
        <f t="shared" si="11"/>
        <v>6.133333333</v>
      </c>
      <c r="AI304" s="46">
        <f t="shared" si="12"/>
        <v>0.003686642423</v>
      </c>
      <c r="AJ304" s="47">
        <f t="shared" si="13"/>
        <v>0.0002872122969</v>
      </c>
      <c r="AK304" s="5"/>
      <c r="AL304" s="42">
        <f t="shared" si="14"/>
        <v>0</v>
      </c>
      <c r="AM304" s="3">
        <f t="shared" si="15"/>
        <v>1</v>
      </c>
      <c r="AN304" s="3">
        <f t="shared" si="16"/>
        <v>0</v>
      </c>
      <c r="AO304" s="3">
        <f t="shared" si="17"/>
        <v>0</v>
      </c>
      <c r="AP304" s="44">
        <f t="shared" si="18"/>
        <v>0</v>
      </c>
      <c r="AQ304" s="48">
        <f t="shared" si="19"/>
        <v>0</v>
      </c>
      <c r="AR304" s="46">
        <f t="shared" si="20"/>
        <v>0</v>
      </c>
      <c r="AS304" s="47">
        <f t="shared" si="21"/>
        <v>0</v>
      </c>
      <c r="AT304" s="5"/>
      <c r="AU304" s="49">
        <f t="shared" si="27"/>
        <v>17036</v>
      </c>
      <c r="AV304" s="50">
        <f t="shared" si="23"/>
        <v>1</v>
      </c>
      <c r="AW304" s="51">
        <f t="shared" si="24"/>
        <v>0.001652887</v>
      </c>
      <c r="AX304" s="52">
        <f t="shared" si="25"/>
        <v>0.000128770143</v>
      </c>
      <c r="AY304" s="5"/>
      <c r="AZ304" s="53">
        <f t="shared" si="26"/>
        <v>1</v>
      </c>
      <c r="BA304" s="5"/>
      <c r="BB304" s="5"/>
      <c r="BC304" s="5"/>
    </row>
    <row r="305" ht="12.75" customHeight="1">
      <c r="A305" s="25"/>
      <c r="B305" s="27" t="s">
        <v>560</v>
      </c>
      <c r="C305" s="27"/>
      <c r="D305" s="28">
        <v>27506.67</v>
      </c>
      <c r="E305" s="29" t="s">
        <v>49</v>
      </c>
      <c r="F305" s="30">
        <v>42247.0</v>
      </c>
      <c r="G305" s="30" t="s">
        <v>40</v>
      </c>
      <c r="H305" s="30">
        <v>42308.0</v>
      </c>
      <c r="I305" s="32">
        <f t="shared" si="1"/>
        <v>2.033333333</v>
      </c>
      <c r="J305" s="33" t="s">
        <v>129</v>
      </c>
      <c r="K305" s="34">
        <v>30000.0</v>
      </c>
      <c r="L305" s="115">
        <v>1118.6</v>
      </c>
      <c r="M305" s="35">
        <v>658.66</v>
      </c>
      <c r="N305" s="35">
        <v>0.0</v>
      </c>
      <c r="O305" s="35">
        <f t="shared" si="65"/>
        <v>0</v>
      </c>
      <c r="P305" s="35">
        <f t="shared" si="3"/>
        <v>0</v>
      </c>
      <c r="Q305" s="36">
        <f t="shared" si="4"/>
        <v>0</v>
      </c>
      <c r="R305" s="36">
        <f t="shared" si="5"/>
        <v>1</v>
      </c>
      <c r="S305" s="37"/>
      <c r="T305" s="5"/>
      <c r="U305" s="54">
        <v>67.32</v>
      </c>
      <c r="V305" s="55">
        <v>1347.84</v>
      </c>
      <c r="W305" s="55">
        <f t="shared" si="62"/>
        <v>1415.16</v>
      </c>
      <c r="X305" s="56">
        <v>0.0775</v>
      </c>
      <c r="Y305" s="55">
        <f t="shared" si="63"/>
        <v>1051.282319</v>
      </c>
      <c r="Z305" s="55">
        <f t="shared" si="43"/>
        <v>1051.282319</v>
      </c>
      <c r="AA305" s="57">
        <f t="shared" si="44"/>
        <v>1118.602319</v>
      </c>
      <c r="AB305" s="5"/>
      <c r="AC305" s="42">
        <f t="shared" si="6"/>
        <v>1</v>
      </c>
      <c r="AD305" s="3">
        <f t="shared" si="7"/>
        <v>1</v>
      </c>
      <c r="AE305" s="3">
        <f t="shared" si="8"/>
        <v>1</v>
      </c>
      <c r="AF305" s="43">
        <f t="shared" si="9"/>
        <v>658.66</v>
      </c>
      <c r="AG305" s="44">
        <f t="shared" si="10"/>
        <v>27506.67</v>
      </c>
      <c r="AH305" s="45">
        <f t="shared" si="11"/>
        <v>2.033333333</v>
      </c>
      <c r="AI305" s="46">
        <f t="shared" si="12"/>
        <v>0.005952527385</v>
      </c>
      <c r="AJ305" s="47">
        <f t="shared" si="13"/>
        <v>0</v>
      </c>
      <c r="AK305" s="5"/>
      <c r="AL305" s="42">
        <f t="shared" si="14"/>
        <v>0</v>
      </c>
      <c r="AM305" s="3">
        <f t="shared" si="15"/>
        <v>1</v>
      </c>
      <c r="AN305" s="3">
        <f t="shared" si="16"/>
        <v>0</v>
      </c>
      <c r="AO305" s="3">
        <f t="shared" si="17"/>
        <v>0</v>
      </c>
      <c r="AP305" s="44">
        <f t="shared" si="18"/>
        <v>0</v>
      </c>
      <c r="AQ305" s="48">
        <f t="shared" si="19"/>
        <v>0</v>
      </c>
      <c r="AR305" s="46">
        <f t="shared" si="20"/>
        <v>0</v>
      </c>
      <c r="AS305" s="47">
        <f t="shared" si="21"/>
        <v>0</v>
      </c>
      <c r="AT305" s="5"/>
      <c r="AU305" s="49">
        <f t="shared" si="27"/>
        <v>27506.67</v>
      </c>
      <c r="AV305" s="50">
        <f t="shared" si="23"/>
        <v>1</v>
      </c>
      <c r="AW305" s="51">
        <f t="shared" si="24"/>
        <v>0.002668784766</v>
      </c>
      <c r="AX305" s="52">
        <f t="shared" si="25"/>
        <v>0</v>
      </c>
      <c r="AY305" s="5"/>
      <c r="AZ305" s="53">
        <f t="shared" si="26"/>
        <v>1</v>
      </c>
      <c r="BA305" s="5"/>
      <c r="BB305" s="5"/>
      <c r="BC305" s="5"/>
    </row>
    <row r="306" ht="12.75" customHeight="1">
      <c r="A306" s="25"/>
      <c r="B306" s="27" t="s">
        <v>561</v>
      </c>
      <c r="C306" s="27">
        <v>11993.0</v>
      </c>
      <c r="D306" s="28">
        <v>11853.27</v>
      </c>
      <c r="E306" s="29" t="s">
        <v>49</v>
      </c>
      <c r="F306" s="30">
        <v>42277.0</v>
      </c>
      <c r="G306" s="30" t="s">
        <v>40</v>
      </c>
      <c r="H306" s="30">
        <v>42489.0</v>
      </c>
      <c r="I306" s="32">
        <f t="shared" si="1"/>
        <v>7.066666667</v>
      </c>
      <c r="J306" s="33" t="s">
        <v>562</v>
      </c>
      <c r="K306" s="34">
        <v>10000.0</v>
      </c>
      <c r="L306" s="115">
        <v>470.68</v>
      </c>
      <c r="M306" s="35">
        <v>2034.65</v>
      </c>
      <c r="N306" s="35">
        <v>0.0</v>
      </c>
      <c r="O306" s="35">
        <f t="shared" si="65"/>
        <v>1853.27</v>
      </c>
      <c r="P306" s="35">
        <f t="shared" si="3"/>
        <v>4358.6</v>
      </c>
      <c r="Q306" s="36">
        <f t="shared" si="4"/>
        <v>0.3677128759</v>
      </c>
      <c r="R306" s="36">
        <f t="shared" si="5"/>
        <v>0.6322871241</v>
      </c>
      <c r="S306" s="37"/>
      <c r="T306" s="5"/>
      <c r="U306" s="54">
        <v>76.1</v>
      </c>
      <c r="V306" s="55">
        <v>692.96</v>
      </c>
      <c r="W306" s="55">
        <f t="shared" si="62"/>
        <v>769.06</v>
      </c>
      <c r="X306" s="56">
        <v>0.0675</v>
      </c>
      <c r="Y306" s="55">
        <f t="shared" si="63"/>
        <v>394.5677548</v>
      </c>
      <c r="Z306" s="55">
        <f t="shared" si="43"/>
        <v>394.5677548</v>
      </c>
      <c r="AA306" s="57">
        <f t="shared" si="44"/>
        <v>470.6677548</v>
      </c>
      <c r="AB306" s="5"/>
      <c r="AC306" s="42">
        <f t="shared" si="6"/>
        <v>1</v>
      </c>
      <c r="AD306" s="3">
        <f t="shared" si="7"/>
        <v>1</v>
      </c>
      <c r="AE306" s="3">
        <f t="shared" si="8"/>
        <v>1</v>
      </c>
      <c r="AF306" s="43">
        <f t="shared" si="9"/>
        <v>2034.65</v>
      </c>
      <c r="AG306" s="44">
        <f t="shared" si="10"/>
        <v>11853.27</v>
      </c>
      <c r="AH306" s="45">
        <f t="shared" si="11"/>
        <v>7.066666667</v>
      </c>
      <c r="AI306" s="46">
        <f t="shared" si="12"/>
        <v>0.002565083824</v>
      </c>
      <c r="AJ306" s="47">
        <f t="shared" si="13"/>
        <v>0.0009432143499</v>
      </c>
      <c r="AK306" s="5"/>
      <c r="AL306" s="42">
        <f t="shared" si="14"/>
        <v>0</v>
      </c>
      <c r="AM306" s="3">
        <f t="shared" si="15"/>
        <v>1</v>
      </c>
      <c r="AN306" s="3">
        <f t="shared" si="16"/>
        <v>0</v>
      </c>
      <c r="AO306" s="3">
        <f t="shared" si="17"/>
        <v>0</v>
      </c>
      <c r="AP306" s="44">
        <f t="shared" si="18"/>
        <v>0</v>
      </c>
      <c r="AQ306" s="48">
        <f t="shared" si="19"/>
        <v>0</v>
      </c>
      <c r="AR306" s="46">
        <f t="shared" si="20"/>
        <v>0</v>
      </c>
      <c r="AS306" s="47">
        <f t="shared" si="21"/>
        <v>0</v>
      </c>
      <c r="AT306" s="5"/>
      <c r="AU306" s="49">
        <f t="shared" si="27"/>
        <v>11853.27</v>
      </c>
      <c r="AV306" s="50">
        <f t="shared" si="23"/>
        <v>1</v>
      </c>
      <c r="AW306" s="51">
        <f t="shared" si="24"/>
        <v>0.001150042022</v>
      </c>
      <c r="AX306" s="52">
        <f t="shared" si="25"/>
        <v>0.0004228852594</v>
      </c>
      <c r="AY306" s="5"/>
      <c r="AZ306" s="53">
        <f t="shared" si="26"/>
        <v>1</v>
      </c>
      <c r="BA306" s="5"/>
      <c r="BB306" s="5"/>
      <c r="BC306" s="5"/>
    </row>
    <row r="307" ht="12.75" customHeight="1">
      <c r="A307" s="25"/>
      <c r="B307" s="27" t="s">
        <v>563</v>
      </c>
      <c r="C307" s="27"/>
      <c r="D307" s="28">
        <v>11749.9</v>
      </c>
      <c r="E307" s="29" t="s">
        <v>49</v>
      </c>
      <c r="F307" s="30">
        <v>42308.0</v>
      </c>
      <c r="G307" s="30" t="s">
        <v>40</v>
      </c>
      <c r="H307" s="30">
        <v>42338.0</v>
      </c>
      <c r="I307" s="32">
        <f t="shared" si="1"/>
        <v>1</v>
      </c>
      <c r="J307" s="33" t="s">
        <v>129</v>
      </c>
      <c r="K307" s="34">
        <v>13000.0</v>
      </c>
      <c r="L307" s="115">
        <v>763.48</v>
      </c>
      <c r="M307" s="35">
        <v>963.86</v>
      </c>
      <c r="N307" s="35">
        <v>673.24</v>
      </c>
      <c r="O307" s="35">
        <f t="shared" si="65"/>
        <v>0</v>
      </c>
      <c r="P307" s="35">
        <f t="shared" si="3"/>
        <v>1150.48</v>
      </c>
      <c r="Q307" s="36">
        <f t="shared" si="4"/>
        <v>0.0979140248</v>
      </c>
      <c r="R307" s="36">
        <f t="shared" si="5"/>
        <v>0.9020859752</v>
      </c>
      <c r="S307" s="37"/>
      <c r="T307" s="5"/>
      <c r="U307" s="54">
        <v>198.52</v>
      </c>
      <c r="V307" s="55">
        <v>1427.4</v>
      </c>
      <c r="W307" s="55">
        <f t="shared" si="62"/>
        <v>1625.92</v>
      </c>
      <c r="X307" s="56">
        <v>0.0975</v>
      </c>
      <c r="Y307" s="55">
        <f t="shared" si="63"/>
        <v>564.9609452</v>
      </c>
      <c r="Z307" s="55">
        <f t="shared" si="43"/>
        <v>564.9609452</v>
      </c>
      <c r="AA307" s="57">
        <f t="shared" si="44"/>
        <v>763.4809452</v>
      </c>
      <c r="AB307" s="5"/>
      <c r="AC307" s="42">
        <f t="shared" si="6"/>
        <v>1</v>
      </c>
      <c r="AD307" s="3">
        <f t="shared" si="7"/>
        <v>1</v>
      </c>
      <c r="AE307" s="3">
        <f t="shared" si="8"/>
        <v>1</v>
      </c>
      <c r="AF307" s="43">
        <f t="shared" si="9"/>
        <v>1637.1</v>
      </c>
      <c r="AG307" s="44">
        <f t="shared" si="10"/>
        <v>11749.9</v>
      </c>
      <c r="AH307" s="45">
        <f t="shared" si="11"/>
        <v>1</v>
      </c>
      <c r="AI307" s="46">
        <f t="shared" si="12"/>
        <v>0.002542714241</v>
      </c>
      <c r="AJ307" s="47">
        <f t="shared" si="13"/>
        <v>0.0002489673852</v>
      </c>
      <c r="AK307" s="5"/>
      <c r="AL307" s="42">
        <f t="shared" si="14"/>
        <v>0</v>
      </c>
      <c r="AM307" s="3">
        <f t="shared" si="15"/>
        <v>1</v>
      </c>
      <c r="AN307" s="3">
        <f t="shared" si="16"/>
        <v>0</v>
      </c>
      <c r="AO307" s="3">
        <f t="shared" si="17"/>
        <v>0</v>
      </c>
      <c r="AP307" s="44">
        <f t="shared" si="18"/>
        <v>0</v>
      </c>
      <c r="AQ307" s="48">
        <f t="shared" si="19"/>
        <v>0</v>
      </c>
      <c r="AR307" s="46">
        <f t="shared" si="20"/>
        <v>0</v>
      </c>
      <c r="AS307" s="47">
        <f t="shared" si="21"/>
        <v>0</v>
      </c>
      <c r="AT307" s="5"/>
      <c r="AU307" s="49">
        <f t="shared" si="27"/>
        <v>11749.9</v>
      </c>
      <c r="AV307" s="50">
        <f t="shared" si="23"/>
        <v>1</v>
      </c>
      <c r="AW307" s="51">
        <f t="shared" si="24"/>
        <v>0.001140012736</v>
      </c>
      <c r="AX307" s="52">
        <f t="shared" si="25"/>
        <v>0.0001116232353</v>
      </c>
      <c r="AY307" s="5"/>
      <c r="AZ307" s="53">
        <f t="shared" si="26"/>
        <v>1</v>
      </c>
      <c r="BA307" s="5"/>
      <c r="BB307" s="5"/>
      <c r="BC307" s="5"/>
    </row>
    <row r="308" ht="12.75" customHeight="1">
      <c r="A308" s="25"/>
      <c r="B308" s="27" t="s">
        <v>564</v>
      </c>
      <c r="C308" s="113">
        <v>10080.0</v>
      </c>
      <c r="D308" s="28">
        <v>9524.72</v>
      </c>
      <c r="E308" s="29" t="s">
        <v>49</v>
      </c>
      <c r="F308" s="30">
        <v>42308.0</v>
      </c>
      <c r="G308" s="30" t="s">
        <v>40</v>
      </c>
      <c r="H308" s="30">
        <v>42977.0</v>
      </c>
      <c r="I308" s="32">
        <f t="shared" si="1"/>
        <v>22.3</v>
      </c>
      <c r="J308" s="33" t="s">
        <v>129</v>
      </c>
      <c r="K308" s="34">
        <v>4000.0</v>
      </c>
      <c r="L308" s="115">
        <v>642.17</v>
      </c>
      <c r="M308" s="35">
        <v>698.92</v>
      </c>
      <c r="N308" s="35">
        <v>0.0</v>
      </c>
      <c r="O308" s="35">
        <f t="shared" si="65"/>
        <v>5524.72</v>
      </c>
      <c r="P308" s="35">
        <f t="shared" si="3"/>
        <v>6865.81</v>
      </c>
      <c r="Q308" s="36">
        <f t="shared" si="4"/>
        <v>0.7208411376</v>
      </c>
      <c r="R308" s="36">
        <f t="shared" si="5"/>
        <v>0.2791588624</v>
      </c>
      <c r="S308" s="37"/>
      <c r="T308" s="5"/>
      <c r="U308" s="54">
        <v>184.2</v>
      </c>
      <c r="V308" s="55">
        <v>2063.98</v>
      </c>
      <c r="W308" s="55">
        <f t="shared" si="62"/>
        <v>2248.18</v>
      </c>
      <c r="X308" s="56">
        <v>0.0975</v>
      </c>
      <c r="Y308" s="55">
        <f t="shared" si="63"/>
        <v>457.9694137</v>
      </c>
      <c r="Z308" s="55">
        <f t="shared" si="43"/>
        <v>457.9694137</v>
      </c>
      <c r="AA308" s="57">
        <f t="shared" si="44"/>
        <v>642.1694137</v>
      </c>
      <c r="AB308" s="5"/>
      <c r="AC308" s="42">
        <f t="shared" si="6"/>
        <v>1</v>
      </c>
      <c r="AD308" s="3">
        <f t="shared" si="7"/>
        <v>1</v>
      </c>
      <c r="AE308" s="3">
        <f t="shared" si="8"/>
        <v>1</v>
      </c>
      <c r="AF308" s="43">
        <f t="shared" si="9"/>
        <v>698.92</v>
      </c>
      <c r="AG308" s="44">
        <f t="shared" si="10"/>
        <v>9524.72</v>
      </c>
      <c r="AH308" s="45">
        <f t="shared" si="11"/>
        <v>22.3</v>
      </c>
      <c r="AI308" s="46">
        <f t="shared" si="12"/>
        <v>0.002061178494</v>
      </c>
      <c r="AJ308" s="47">
        <f t="shared" si="13"/>
        <v>0.00148578225</v>
      </c>
      <c r="AK308" s="5"/>
      <c r="AL308" s="42">
        <f t="shared" si="14"/>
        <v>0</v>
      </c>
      <c r="AM308" s="3">
        <f t="shared" si="15"/>
        <v>1</v>
      </c>
      <c r="AN308" s="3">
        <f t="shared" si="16"/>
        <v>0</v>
      </c>
      <c r="AO308" s="3">
        <f t="shared" si="17"/>
        <v>0</v>
      </c>
      <c r="AP308" s="44">
        <f t="shared" si="18"/>
        <v>0</v>
      </c>
      <c r="AQ308" s="48">
        <f t="shared" si="19"/>
        <v>0</v>
      </c>
      <c r="AR308" s="46">
        <f t="shared" si="20"/>
        <v>0</v>
      </c>
      <c r="AS308" s="47">
        <f t="shared" si="21"/>
        <v>0</v>
      </c>
      <c r="AT308" s="5"/>
      <c r="AU308" s="49">
        <f t="shared" si="27"/>
        <v>9524.72</v>
      </c>
      <c r="AV308" s="50">
        <f t="shared" si="23"/>
        <v>1</v>
      </c>
      <c r="AW308" s="51">
        <f t="shared" si="24"/>
        <v>0.0009241186822</v>
      </c>
      <c r="AX308" s="52">
        <f t="shared" si="25"/>
        <v>0.0006661427622</v>
      </c>
      <c r="AY308" s="5"/>
      <c r="AZ308" s="53">
        <f t="shared" si="26"/>
        <v>1</v>
      </c>
      <c r="BA308" s="5"/>
      <c r="BB308" s="5"/>
      <c r="BC308" s="5"/>
    </row>
    <row r="309" ht="12.75" customHeight="1">
      <c r="A309" s="25"/>
      <c r="B309" s="27" t="s">
        <v>565</v>
      </c>
      <c r="C309" s="27">
        <v>17000.0</v>
      </c>
      <c r="D309" s="28">
        <v>16929.3</v>
      </c>
      <c r="E309" s="29" t="s">
        <v>49</v>
      </c>
      <c r="F309" s="30">
        <v>42369.0</v>
      </c>
      <c r="G309" s="30" t="s">
        <v>40</v>
      </c>
      <c r="H309" s="30">
        <v>42400.0</v>
      </c>
      <c r="I309" s="32">
        <f t="shared" si="1"/>
        <v>1.033333333</v>
      </c>
      <c r="J309" s="33" t="s">
        <v>216</v>
      </c>
      <c r="K309" s="34">
        <v>18000.0</v>
      </c>
      <c r="L309" s="115">
        <v>762.59</v>
      </c>
      <c r="M309" s="35">
        <v>2746.07</v>
      </c>
      <c r="N309" s="35">
        <v>0.0</v>
      </c>
      <c r="O309" s="35">
        <f t="shared" si="65"/>
        <v>0</v>
      </c>
      <c r="P309" s="35">
        <f t="shared" si="3"/>
        <v>2437.96</v>
      </c>
      <c r="Q309" s="36">
        <f t="shared" si="4"/>
        <v>0.1440083169</v>
      </c>
      <c r="R309" s="36">
        <f t="shared" si="5"/>
        <v>0.8559916831</v>
      </c>
      <c r="S309" s="37"/>
      <c r="T309" s="5"/>
      <c r="U309" s="54">
        <v>34.58</v>
      </c>
      <c r="V309" s="55">
        <v>1267.42</v>
      </c>
      <c r="W309" s="55">
        <f t="shared" si="62"/>
        <v>1302</v>
      </c>
      <c r="X309" s="56">
        <v>0.0872</v>
      </c>
      <c r="Y309" s="55">
        <f t="shared" si="63"/>
        <v>728.0062816</v>
      </c>
      <c r="Z309" s="55">
        <f t="shared" si="43"/>
        <v>728.0062816</v>
      </c>
      <c r="AA309" s="57">
        <f t="shared" si="44"/>
        <v>762.5862816</v>
      </c>
      <c r="AB309" s="5"/>
      <c r="AC309" s="42">
        <f t="shared" si="6"/>
        <v>1</v>
      </c>
      <c r="AD309" s="3">
        <f t="shared" si="7"/>
        <v>1</v>
      </c>
      <c r="AE309" s="3">
        <f t="shared" si="8"/>
        <v>1</v>
      </c>
      <c r="AF309" s="43">
        <f t="shared" si="9"/>
        <v>2746.07</v>
      </c>
      <c r="AG309" s="44">
        <f t="shared" si="10"/>
        <v>16929.3</v>
      </c>
      <c r="AH309" s="45">
        <f t="shared" si="11"/>
        <v>1.033333333</v>
      </c>
      <c r="AI309" s="46">
        <f t="shared" si="12"/>
        <v>0.003663552217</v>
      </c>
      <c r="AJ309" s="47">
        <f t="shared" si="13"/>
        <v>0.0005275819888</v>
      </c>
      <c r="AK309" s="5"/>
      <c r="AL309" s="42">
        <f t="shared" si="14"/>
        <v>0</v>
      </c>
      <c r="AM309" s="3">
        <f t="shared" si="15"/>
        <v>1</v>
      </c>
      <c r="AN309" s="3">
        <f t="shared" si="16"/>
        <v>0</v>
      </c>
      <c r="AO309" s="3">
        <f t="shared" si="17"/>
        <v>0</v>
      </c>
      <c r="AP309" s="44">
        <f t="shared" si="18"/>
        <v>0</v>
      </c>
      <c r="AQ309" s="48">
        <f t="shared" si="19"/>
        <v>0</v>
      </c>
      <c r="AR309" s="46">
        <f t="shared" si="20"/>
        <v>0</v>
      </c>
      <c r="AS309" s="47">
        <f t="shared" si="21"/>
        <v>0</v>
      </c>
      <c r="AT309" s="5"/>
      <c r="AU309" s="49">
        <f t="shared" si="27"/>
        <v>16929.3</v>
      </c>
      <c r="AV309" s="50">
        <f t="shared" si="23"/>
        <v>1</v>
      </c>
      <c r="AW309" s="51">
        <f t="shared" si="24"/>
        <v>0.001642534626</v>
      </c>
      <c r="AX309" s="52">
        <f t="shared" si="25"/>
        <v>0.0002365386471</v>
      </c>
      <c r="AY309" s="5"/>
      <c r="AZ309" s="53">
        <f t="shared" si="26"/>
        <v>1</v>
      </c>
      <c r="BA309" s="5"/>
      <c r="BB309" s="5"/>
      <c r="BC309" s="5"/>
    </row>
    <row r="310" ht="12.75" customHeight="1">
      <c r="A310" s="25"/>
      <c r="B310" s="27" t="s">
        <v>566</v>
      </c>
      <c r="C310" s="27"/>
      <c r="D310" s="28">
        <v>13037.0</v>
      </c>
      <c r="E310" s="29" t="s">
        <v>49</v>
      </c>
      <c r="F310" s="30">
        <v>42369.0</v>
      </c>
      <c r="G310" s="30" t="s">
        <v>40</v>
      </c>
      <c r="H310" s="30">
        <v>42429.0</v>
      </c>
      <c r="I310" s="32">
        <f t="shared" si="1"/>
        <v>2</v>
      </c>
      <c r="J310" s="33" t="s">
        <v>567</v>
      </c>
      <c r="K310" s="34">
        <v>14000.0</v>
      </c>
      <c r="L310" s="115">
        <v>688.2</v>
      </c>
      <c r="M310" s="35">
        <v>1511.75</v>
      </c>
      <c r="N310" s="35">
        <v>0.0</v>
      </c>
      <c r="O310" s="35">
        <f t="shared" si="65"/>
        <v>0</v>
      </c>
      <c r="P310" s="35">
        <f t="shared" si="3"/>
        <v>1236.95</v>
      </c>
      <c r="Q310" s="36">
        <f t="shared" si="4"/>
        <v>0.09487995705</v>
      </c>
      <c r="R310" s="36">
        <f t="shared" si="5"/>
        <v>0.905120043</v>
      </c>
      <c r="S310" s="37"/>
      <c r="T310" s="5"/>
      <c r="U310" s="54">
        <v>80.0</v>
      </c>
      <c r="V310" s="55">
        <v>2154.78</v>
      </c>
      <c r="W310" s="55">
        <f t="shared" si="62"/>
        <v>2234.78</v>
      </c>
      <c r="X310" s="56">
        <v>0.0946</v>
      </c>
      <c r="Y310" s="55">
        <f t="shared" si="63"/>
        <v>608.2028384</v>
      </c>
      <c r="Z310" s="55">
        <f t="shared" si="43"/>
        <v>608.2028384</v>
      </c>
      <c r="AA310" s="57">
        <f t="shared" si="44"/>
        <v>688.2028384</v>
      </c>
      <c r="AB310" s="5"/>
      <c r="AC310" s="42">
        <f t="shared" si="6"/>
        <v>1</v>
      </c>
      <c r="AD310" s="3">
        <f t="shared" si="7"/>
        <v>1</v>
      </c>
      <c r="AE310" s="3">
        <f t="shared" si="8"/>
        <v>1</v>
      </c>
      <c r="AF310" s="43">
        <f t="shared" si="9"/>
        <v>1511.75</v>
      </c>
      <c r="AG310" s="44">
        <f t="shared" si="10"/>
        <v>13037</v>
      </c>
      <c r="AH310" s="45">
        <f t="shared" si="11"/>
        <v>2</v>
      </c>
      <c r="AI310" s="46">
        <f t="shared" si="12"/>
        <v>0.002821246611</v>
      </c>
      <c r="AJ310" s="47">
        <f t="shared" si="13"/>
        <v>0.0002676797573</v>
      </c>
      <c r="AK310" s="5"/>
      <c r="AL310" s="42">
        <f t="shared" si="14"/>
        <v>0</v>
      </c>
      <c r="AM310" s="3">
        <f t="shared" si="15"/>
        <v>1</v>
      </c>
      <c r="AN310" s="3">
        <f t="shared" si="16"/>
        <v>0</v>
      </c>
      <c r="AO310" s="3">
        <f t="shared" si="17"/>
        <v>0</v>
      </c>
      <c r="AP310" s="44">
        <f t="shared" si="18"/>
        <v>0</v>
      </c>
      <c r="AQ310" s="48">
        <f t="shared" si="19"/>
        <v>0</v>
      </c>
      <c r="AR310" s="46">
        <f t="shared" si="20"/>
        <v>0</v>
      </c>
      <c r="AS310" s="47">
        <f t="shared" si="21"/>
        <v>0</v>
      </c>
      <c r="AT310" s="5"/>
      <c r="AU310" s="49">
        <f t="shared" si="27"/>
        <v>13037</v>
      </c>
      <c r="AV310" s="50">
        <f t="shared" si="23"/>
        <v>1</v>
      </c>
      <c r="AW310" s="51">
        <f t="shared" si="24"/>
        <v>0.001264891279</v>
      </c>
      <c r="AX310" s="52">
        <f t="shared" si="25"/>
        <v>0.0001200128302</v>
      </c>
      <c r="AY310" s="5"/>
      <c r="AZ310" s="53">
        <f t="shared" si="26"/>
        <v>1</v>
      </c>
      <c r="BA310" s="5"/>
      <c r="BB310" s="5"/>
      <c r="BC310" s="5"/>
    </row>
    <row r="311" ht="12.75" customHeight="1">
      <c r="A311" s="25"/>
      <c r="B311" s="27" t="s">
        <v>568</v>
      </c>
      <c r="C311" s="113">
        <v>11500.0</v>
      </c>
      <c r="D311" s="28">
        <v>10820.0</v>
      </c>
      <c r="E311" s="29" t="s">
        <v>49</v>
      </c>
      <c r="F311" s="30">
        <v>42369.0</v>
      </c>
      <c r="G311" s="30" t="s">
        <v>40</v>
      </c>
      <c r="H311" s="30">
        <v>42736.0</v>
      </c>
      <c r="I311" s="32">
        <f t="shared" si="1"/>
        <v>12.23333333</v>
      </c>
      <c r="J311" s="33" t="s">
        <v>569</v>
      </c>
      <c r="K311" s="34">
        <v>5000.0</v>
      </c>
      <c r="L311" s="115">
        <v>631.44</v>
      </c>
      <c r="M311" s="35">
        <v>977.32</v>
      </c>
      <c r="N311" s="35">
        <v>0.0</v>
      </c>
      <c r="O311" s="35">
        <f t="shared" si="65"/>
        <v>5820</v>
      </c>
      <c r="P311" s="35">
        <f t="shared" si="3"/>
        <v>7428.76</v>
      </c>
      <c r="Q311" s="36">
        <f t="shared" si="4"/>
        <v>0.6865767098</v>
      </c>
      <c r="R311" s="36">
        <f t="shared" si="5"/>
        <v>0.3134232902</v>
      </c>
      <c r="S311" s="37"/>
      <c r="T311" s="5"/>
      <c r="U311" s="54">
        <v>116.53</v>
      </c>
      <c r="V311" s="55">
        <v>1930.07</v>
      </c>
      <c r="W311" s="55">
        <f t="shared" si="62"/>
        <v>2046.6</v>
      </c>
      <c r="X311" s="56">
        <v>0.0965</v>
      </c>
      <c r="Y311" s="55">
        <f t="shared" si="63"/>
        <v>514.9134247</v>
      </c>
      <c r="Z311" s="55">
        <f t="shared" si="43"/>
        <v>514.9134247</v>
      </c>
      <c r="AA311" s="57">
        <f t="shared" si="44"/>
        <v>631.4434247</v>
      </c>
      <c r="AB311" s="5"/>
      <c r="AC311" s="42">
        <f t="shared" si="6"/>
        <v>1</v>
      </c>
      <c r="AD311" s="3">
        <f t="shared" si="7"/>
        <v>1</v>
      </c>
      <c r="AE311" s="3">
        <f t="shared" si="8"/>
        <v>1</v>
      </c>
      <c r="AF311" s="43">
        <f t="shared" si="9"/>
        <v>977.32</v>
      </c>
      <c r="AG311" s="44">
        <f t="shared" si="10"/>
        <v>10820</v>
      </c>
      <c r="AH311" s="45">
        <f t="shared" si="11"/>
        <v>12.23333333</v>
      </c>
      <c r="AI311" s="46">
        <f t="shared" si="12"/>
        <v>0.002341481041</v>
      </c>
      <c r="AJ311" s="47">
        <f t="shared" si="13"/>
        <v>0.001607606349</v>
      </c>
      <c r="AK311" s="5"/>
      <c r="AL311" s="42">
        <f t="shared" si="14"/>
        <v>0</v>
      </c>
      <c r="AM311" s="3">
        <f t="shared" si="15"/>
        <v>1</v>
      </c>
      <c r="AN311" s="3">
        <f t="shared" si="16"/>
        <v>0</v>
      </c>
      <c r="AO311" s="3">
        <f t="shared" si="17"/>
        <v>0</v>
      </c>
      <c r="AP311" s="44">
        <f t="shared" si="18"/>
        <v>0</v>
      </c>
      <c r="AQ311" s="48">
        <f t="shared" si="19"/>
        <v>0</v>
      </c>
      <c r="AR311" s="46">
        <f t="shared" si="20"/>
        <v>0</v>
      </c>
      <c r="AS311" s="47">
        <f t="shared" si="21"/>
        <v>0</v>
      </c>
      <c r="AT311" s="5"/>
      <c r="AU311" s="49">
        <f t="shared" si="27"/>
        <v>10820</v>
      </c>
      <c r="AV311" s="50">
        <f t="shared" si="23"/>
        <v>1</v>
      </c>
      <c r="AW311" s="51">
        <f t="shared" si="24"/>
        <v>0.001049790875</v>
      </c>
      <c r="AX311" s="52">
        <f t="shared" si="25"/>
        <v>0.0007207619648</v>
      </c>
      <c r="AY311" s="5"/>
      <c r="AZ311" s="53">
        <f t="shared" si="26"/>
        <v>1</v>
      </c>
      <c r="BA311" s="5"/>
      <c r="BB311" s="5"/>
      <c r="BC311" s="5"/>
    </row>
    <row r="312" ht="12.75" customHeight="1">
      <c r="A312" s="25"/>
      <c r="B312" s="27" t="s">
        <v>570</v>
      </c>
      <c r="C312" s="27"/>
      <c r="D312" s="28">
        <v>16319.0</v>
      </c>
      <c r="E312" s="29" t="s">
        <v>49</v>
      </c>
      <c r="F312" s="30">
        <v>42400.0</v>
      </c>
      <c r="G312" s="30" t="s">
        <v>40</v>
      </c>
      <c r="H312" s="30">
        <v>42459.0</v>
      </c>
      <c r="I312" s="32">
        <f t="shared" si="1"/>
        <v>1.966666667</v>
      </c>
      <c r="J312" s="33" t="s">
        <v>571</v>
      </c>
      <c r="K312" s="34">
        <v>20000.0</v>
      </c>
      <c r="L312" s="115">
        <v>1152.0</v>
      </c>
      <c r="M312" s="35">
        <v>1247.36</v>
      </c>
      <c r="N312" s="35">
        <v>0.0</v>
      </c>
      <c r="O312" s="35">
        <f t="shared" si="65"/>
        <v>0</v>
      </c>
      <c r="P312" s="35">
        <f t="shared" si="3"/>
        <v>0</v>
      </c>
      <c r="Q312" s="36">
        <f t="shared" si="4"/>
        <v>0</v>
      </c>
      <c r="R312" s="36">
        <f t="shared" si="5"/>
        <v>1</v>
      </c>
      <c r="S312" s="37"/>
      <c r="T312" s="5"/>
      <c r="U312" s="54">
        <v>347.23</v>
      </c>
      <c r="V312" s="55">
        <v>4790.55</v>
      </c>
      <c r="W312" s="55">
        <f t="shared" si="62"/>
        <v>5137.78</v>
      </c>
      <c r="X312" s="56">
        <v>0.1</v>
      </c>
      <c r="Y312" s="55">
        <f t="shared" si="63"/>
        <v>804.7726027</v>
      </c>
      <c r="Z312" s="55">
        <f t="shared" si="43"/>
        <v>804.7726027</v>
      </c>
      <c r="AA312" s="57">
        <f t="shared" si="44"/>
        <v>1152.002603</v>
      </c>
      <c r="AB312" s="5"/>
      <c r="AC312" s="42">
        <f t="shared" si="6"/>
        <v>1</v>
      </c>
      <c r="AD312" s="3">
        <f t="shared" si="7"/>
        <v>1</v>
      </c>
      <c r="AE312" s="3">
        <f t="shared" si="8"/>
        <v>1</v>
      </c>
      <c r="AF312" s="43">
        <f t="shared" si="9"/>
        <v>1247.36</v>
      </c>
      <c r="AG312" s="44">
        <f t="shared" si="10"/>
        <v>16319</v>
      </c>
      <c r="AH312" s="45">
        <f t="shared" si="11"/>
        <v>1.966666667</v>
      </c>
      <c r="AI312" s="46">
        <f t="shared" si="12"/>
        <v>0.003531481433</v>
      </c>
      <c r="AJ312" s="47">
        <f t="shared" si="13"/>
        <v>0</v>
      </c>
      <c r="AK312" s="5"/>
      <c r="AL312" s="42">
        <f t="shared" si="14"/>
        <v>0</v>
      </c>
      <c r="AM312" s="3">
        <f t="shared" si="15"/>
        <v>1</v>
      </c>
      <c r="AN312" s="3">
        <f t="shared" si="16"/>
        <v>0</v>
      </c>
      <c r="AO312" s="3">
        <f t="shared" si="17"/>
        <v>0</v>
      </c>
      <c r="AP312" s="44">
        <f t="shared" si="18"/>
        <v>0</v>
      </c>
      <c r="AQ312" s="48">
        <f t="shared" si="19"/>
        <v>0</v>
      </c>
      <c r="AR312" s="46">
        <f t="shared" si="20"/>
        <v>0</v>
      </c>
      <c r="AS312" s="47">
        <f t="shared" si="21"/>
        <v>0</v>
      </c>
      <c r="AT312" s="5"/>
      <c r="AU312" s="49">
        <f t="shared" si="27"/>
        <v>16319</v>
      </c>
      <c r="AV312" s="50">
        <f t="shared" si="23"/>
        <v>1</v>
      </c>
      <c r="AW312" s="51">
        <f t="shared" si="24"/>
        <v>0.001583321376</v>
      </c>
      <c r="AX312" s="52">
        <f t="shared" si="25"/>
        <v>0</v>
      </c>
      <c r="AY312" s="5"/>
      <c r="AZ312" s="53">
        <f t="shared" si="26"/>
        <v>1</v>
      </c>
      <c r="BA312" s="5"/>
      <c r="BB312" s="5"/>
      <c r="BC312" s="5"/>
    </row>
    <row r="313" ht="12.75" customHeight="1">
      <c r="A313" s="25"/>
      <c r="B313" s="27" t="s">
        <v>572</v>
      </c>
      <c r="C313" s="27"/>
      <c r="D313" s="28">
        <v>18456.12</v>
      </c>
      <c r="E313" s="29" t="s">
        <v>49</v>
      </c>
      <c r="F313" s="30">
        <v>42400.0</v>
      </c>
      <c r="G313" s="30" t="s">
        <v>40</v>
      </c>
      <c r="H313" s="30">
        <v>42580.0</v>
      </c>
      <c r="I313" s="32">
        <f t="shared" si="1"/>
        <v>6</v>
      </c>
      <c r="J313" s="33" t="s">
        <v>573</v>
      </c>
      <c r="K313" s="34">
        <v>15000.0</v>
      </c>
      <c r="L313" s="115">
        <v>861.88</v>
      </c>
      <c r="M313" s="35">
        <v>2104.23</v>
      </c>
      <c r="N313" s="35">
        <v>914.88</v>
      </c>
      <c r="O313" s="35">
        <f t="shared" si="65"/>
        <v>3456.12</v>
      </c>
      <c r="P313" s="35">
        <f t="shared" si="3"/>
        <v>7337.11</v>
      </c>
      <c r="Q313" s="36">
        <f t="shared" si="4"/>
        <v>0.3975434707</v>
      </c>
      <c r="R313" s="36">
        <f t="shared" si="5"/>
        <v>0.6024565293</v>
      </c>
      <c r="S313" s="37"/>
      <c r="T313" s="5"/>
      <c r="U313" s="54">
        <v>133.75</v>
      </c>
      <c r="V313" s="55">
        <v>951.63</v>
      </c>
      <c r="W313" s="55">
        <f t="shared" si="62"/>
        <v>1085.38</v>
      </c>
      <c r="X313" s="56">
        <v>0.08</v>
      </c>
      <c r="Y313" s="55">
        <f t="shared" si="63"/>
        <v>728.1318575</v>
      </c>
      <c r="Z313" s="55">
        <f t="shared" si="43"/>
        <v>728.1318575</v>
      </c>
      <c r="AA313" s="57">
        <f t="shared" si="44"/>
        <v>861.8818575</v>
      </c>
      <c r="AB313" s="5"/>
      <c r="AC313" s="42">
        <f t="shared" si="6"/>
        <v>1</v>
      </c>
      <c r="AD313" s="3">
        <f t="shared" si="7"/>
        <v>1</v>
      </c>
      <c r="AE313" s="3">
        <f t="shared" si="8"/>
        <v>1</v>
      </c>
      <c r="AF313" s="43">
        <f t="shared" si="9"/>
        <v>3019.11</v>
      </c>
      <c r="AG313" s="44">
        <f t="shared" si="10"/>
        <v>18456.12</v>
      </c>
      <c r="AH313" s="45">
        <f t="shared" si="11"/>
        <v>6</v>
      </c>
      <c r="AI313" s="46">
        <f t="shared" si="12"/>
        <v>0.003993960727</v>
      </c>
      <c r="AJ313" s="47">
        <f t="shared" si="13"/>
        <v>0.001587773009</v>
      </c>
      <c r="AK313" s="5"/>
      <c r="AL313" s="42">
        <f t="shared" si="14"/>
        <v>0</v>
      </c>
      <c r="AM313" s="3">
        <f t="shared" si="15"/>
        <v>1</v>
      </c>
      <c r="AN313" s="3">
        <f t="shared" si="16"/>
        <v>0</v>
      </c>
      <c r="AO313" s="3">
        <f t="shared" si="17"/>
        <v>0</v>
      </c>
      <c r="AP313" s="44">
        <f t="shared" si="18"/>
        <v>0</v>
      </c>
      <c r="AQ313" s="48">
        <f t="shared" si="19"/>
        <v>0</v>
      </c>
      <c r="AR313" s="46">
        <f t="shared" si="20"/>
        <v>0</v>
      </c>
      <c r="AS313" s="47">
        <f t="shared" si="21"/>
        <v>0</v>
      </c>
      <c r="AT313" s="5"/>
      <c r="AU313" s="49">
        <f t="shared" si="27"/>
        <v>18456.12</v>
      </c>
      <c r="AV313" s="50">
        <f t="shared" si="23"/>
        <v>1</v>
      </c>
      <c r="AW313" s="51">
        <f t="shared" si="24"/>
        <v>0.001790671568</v>
      </c>
      <c r="AX313" s="52">
        <f t="shared" si="25"/>
        <v>0.0007118697898</v>
      </c>
      <c r="AY313" s="5"/>
      <c r="AZ313" s="53">
        <f t="shared" si="26"/>
        <v>1</v>
      </c>
      <c r="BA313" s="5"/>
      <c r="BB313" s="5"/>
      <c r="BC313" s="5"/>
    </row>
    <row r="314" ht="12.75" customHeight="1">
      <c r="A314" s="25"/>
      <c r="B314" s="27" t="s">
        <v>574</v>
      </c>
      <c r="C314" s="27"/>
      <c r="D314" s="28">
        <v>53961.94</v>
      </c>
      <c r="E314" s="29" t="s">
        <v>49</v>
      </c>
      <c r="F314" s="30">
        <v>42429.0</v>
      </c>
      <c r="G314" s="30" t="s">
        <v>40</v>
      </c>
      <c r="H314" s="30">
        <v>42734.0</v>
      </c>
      <c r="I314" s="32">
        <f t="shared" si="1"/>
        <v>10.16666667</v>
      </c>
      <c r="J314" s="33" t="s">
        <v>575</v>
      </c>
      <c r="K314" s="34">
        <v>60000.0</v>
      </c>
      <c r="L314" s="65">
        <v>4381.35</v>
      </c>
      <c r="M314" s="35">
        <v>5600.69</v>
      </c>
      <c r="N314" s="35">
        <v>417.47</v>
      </c>
      <c r="O314" s="35">
        <f t="shared" si="65"/>
        <v>0</v>
      </c>
      <c r="P314" s="35">
        <f t="shared" si="3"/>
        <v>4361.45</v>
      </c>
      <c r="Q314" s="36">
        <f t="shared" si="4"/>
        <v>0.08082455894</v>
      </c>
      <c r="R314" s="36">
        <f t="shared" si="5"/>
        <v>0.9191754411</v>
      </c>
      <c r="S314" s="37"/>
      <c r="T314" s="5"/>
      <c r="U314" s="54">
        <v>2385.5</v>
      </c>
      <c r="V314" s="55">
        <v>11839.64</v>
      </c>
      <c r="W314" s="55">
        <f t="shared" si="62"/>
        <v>14225.14</v>
      </c>
      <c r="X314" s="56">
        <v>0.075</v>
      </c>
      <c r="Y314" s="55">
        <f t="shared" si="63"/>
        <v>1995.852575</v>
      </c>
      <c r="Z314" s="55">
        <f t="shared" si="43"/>
        <v>1995.852575</v>
      </c>
      <c r="AA314" s="57">
        <f t="shared" si="44"/>
        <v>4381.352575</v>
      </c>
      <c r="AB314" s="5"/>
      <c r="AC314" s="42">
        <f t="shared" si="6"/>
        <v>1</v>
      </c>
      <c r="AD314" s="3">
        <f t="shared" si="7"/>
        <v>1</v>
      </c>
      <c r="AE314" s="3">
        <f t="shared" si="8"/>
        <v>1</v>
      </c>
      <c r="AF314" s="43">
        <f t="shared" si="9"/>
        <v>6018.16</v>
      </c>
      <c r="AG314" s="44">
        <f t="shared" si="10"/>
        <v>53961.94</v>
      </c>
      <c r="AH314" s="45">
        <f t="shared" si="11"/>
        <v>10.16666667</v>
      </c>
      <c r="AI314" s="46">
        <f t="shared" si="12"/>
        <v>0.0116775286</v>
      </c>
      <c r="AJ314" s="47">
        <f t="shared" si="13"/>
        <v>0.0009438310986</v>
      </c>
      <c r="AK314" s="5"/>
      <c r="AL314" s="42">
        <f t="shared" si="14"/>
        <v>0</v>
      </c>
      <c r="AM314" s="3">
        <f t="shared" si="15"/>
        <v>1</v>
      </c>
      <c r="AN314" s="3">
        <f t="shared" si="16"/>
        <v>0</v>
      </c>
      <c r="AO314" s="3">
        <f t="shared" si="17"/>
        <v>0</v>
      </c>
      <c r="AP314" s="44">
        <f t="shared" si="18"/>
        <v>0</v>
      </c>
      <c r="AQ314" s="48">
        <f t="shared" si="19"/>
        <v>0</v>
      </c>
      <c r="AR314" s="46">
        <f t="shared" si="20"/>
        <v>0</v>
      </c>
      <c r="AS314" s="47">
        <f t="shared" si="21"/>
        <v>0</v>
      </c>
      <c r="AT314" s="5"/>
      <c r="AU314" s="49">
        <f t="shared" si="27"/>
        <v>53961.94</v>
      </c>
      <c r="AV314" s="50">
        <f t="shared" si="23"/>
        <v>1</v>
      </c>
      <c r="AW314" s="51">
        <f t="shared" si="24"/>
        <v>0.005235559353</v>
      </c>
      <c r="AX314" s="52">
        <f t="shared" si="25"/>
        <v>0.0004231617755</v>
      </c>
      <c r="AY314" s="5"/>
      <c r="AZ314" s="53">
        <f t="shared" si="26"/>
        <v>1</v>
      </c>
      <c r="BA314" s="5"/>
      <c r="BB314" s="5"/>
      <c r="BC314" s="5"/>
    </row>
    <row r="315" ht="12.75" customHeight="1">
      <c r="A315" s="25"/>
      <c r="B315" s="27" t="s">
        <v>576</v>
      </c>
      <c r="C315" s="27"/>
      <c r="D315" s="28">
        <v>19524.0</v>
      </c>
      <c r="E315" s="29" t="s">
        <v>49</v>
      </c>
      <c r="F315" s="30">
        <v>42458.0</v>
      </c>
      <c r="G315" s="30" t="s">
        <v>40</v>
      </c>
      <c r="H315" s="30">
        <v>42734.0</v>
      </c>
      <c r="I315" s="32">
        <f t="shared" si="1"/>
        <v>9.2</v>
      </c>
      <c r="J315" s="33" t="s">
        <v>577</v>
      </c>
      <c r="K315" s="34">
        <v>16500.0</v>
      </c>
      <c r="L315" s="115">
        <v>1259.27</v>
      </c>
      <c r="M315" s="35">
        <v>2104.39</v>
      </c>
      <c r="N315" s="35">
        <v>0.0</v>
      </c>
      <c r="O315" s="35">
        <f t="shared" si="65"/>
        <v>3024</v>
      </c>
      <c r="P315" s="35">
        <f t="shared" si="3"/>
        <v>6387.66</v>
      </c>
      <c r="Q315" s="36">
        <f t="shared" si="4"/>
        <v>0.3271696374</v>
      </c>
      <c r="R315" s="36">
        <f t="shared" si="5"/>
        <v>0.6728303626</v>
      </c>
      <c r="S315" s="37"/>
      <c r="T315" s="5"/>
      <c r="U315" s="54">
        <v>561.22</v>
      </c>
      <c r="V315" s="55">
        <v>3736.08</v>
      </c>
      <c r="W315" s="55">
        <f t="shared" si="62"/>
        <v>4297.3</v>
      </c>
      <c r="X315" s="56">
        <v>0.0725</v>
      </c>
      <c r="Y315" s="55">
        <f t="shared" si="63"/>
        <v>698.049863</v>
      </c>
      <c r="Z315" s="55">
        <f t="shared" si="43"/>
        <v>698.049863</v>
      </c>
      <c r="AA315" s="57">
        <f t="shared" si="44"/>
        <v>1259.269863</v>
      </c>
      <c r="AB315" s="5"/>
      <c r="AC315" s="42">
        <f t="shared" si="6"/>
        <v>1</v>
      </c>
      <c r="AD315" s="3">
        <f t="shared" si="7"/>
        <v>1</v>
      </c>
      <c r="AE315" s="3">
        <f t="shared" si="8"/>
        <v>1</v>
      </c>
      <c r="AF315" s="43">
        <f t="shared" si="9"/>
        <v>2104.39</v>
      </c>
      <c r="AG315" s="44">
        <f t="shared" si="10"/>
        <v>19524</v>
      </c>
      <c r="AH315" s="45">
        <f t="shared" si="11"/>
        <v>9.2</v>
      </c>
      <c r="AI315" s="46">
        <f t="shared" si="12"/>
        <v>0.00422505322</v>
      </c>
      <c r="AJ315" s="47">
        <f t="shared" si="13"/>
        <v>0.00138230913</v>
      </c>
      <c r="AK315" s="5"/>
      <c r="AL315" s="42">
        <f t="shared" si="14"/>
        <v>0</v>
      </c>
      <c r="AM315" s="3">
        <f t="shared" si="15"/>
        <v>1</v>
      </c>
      <c r="AN315" s="3">
        <f t="shared" si="16"/>
        <v>0</v>
      </c>
      <c r="AO315" s="3">
        <f t="shared" si="17"/>
        <v>0</v>
      </c>
      <c r="AP315" s="44">
        <f t="shared" si="18"/>
        <v>0</v>
      </c>
      <c r="AQ315" s="48">
        <f t="shared" si="19"/>
        <v>0</v>
      </c>
      <c r="AR315" s="46">
        <f t="shared" si="20"/>
        <v>0</v>
      </c>
      <c r="AS315" s="47">
        <f t="shared" si="21"/>
        <v>0</v>
      </c>
      <c r="AT315" s="5"/>
      <c r="AU315" s="49">
        <f t="shared" si="27"/>
        <v>19524</v>
      </c>
      <c r="AV315" s="50">
        <f t="shared" si="23"/>
        <v>1</v>
      </c>
      <c r="AW315" s="51">
        <f t="shared" si="24"/>
        <v>0.001894280688</v>
      </c>
      <c r="AX315" s="52">
        <f t="shared" si="25"/>
        <v>0.0006197511257</v>
      </c>
      <c r="AY315" s="5"/>
      <c r="AZ315" s="53">
        <f t="shared" si="26"/>
        <v>1</v>
      </c>
      <c r="BA315" s="5"/>
      <c r="BB315" s="5"/>
      <c r="BC315" s="5"/>
    </row>
    <row r="316" ht="12.75" customHeight="1">
      <c r="A316" s="25"/>
      <c r="B316" s="27" t="s">
        <v>361</v>
      </c>
      <c r="C316" s="113">
        <v>6000.0</v>
      </c>
      <c r="D316" s="28">
        <v>5789.92</v>
      </c>
      <c r="E316" s="29" t="s">
        <v>39</v>
      </c>
      <c r="F316" s="30">
        <v>42489.0</v>
      </c>
      <c r="G316" s="30" t="s">
        <v>40</v>
      </c>
      <c r="H316" s="30">
        <v>43159.0</v>
      </c>
      <c r="I316" s="32">
        <f t="shared" si="1"/>
        <v>22.33333333</v>
      </c>
      <c r="J316" s="33" t="s">
        <v>129</v>
      </c>
      <c r="K316" s="34">
        <v>3000.0</v>
      </c>
      <c r="L316" s="115">
        <v>179.0</v>
      </c>
      <c r="M316" s="35">
        <v>228.08</v>
      </c>
      <c r="N316" s="35">
        <v>0.0</v>
      </c>
      <c r="O316" s="35">
        <f t="shared" si="65"/>
        <v>2789.92</v>
      </c>
      <c r="P316" s="35">
        <f t="shared" si="3"/>
        <v>3197</v>
      </c>
      <c r="Q316" s="36">
        <f t="shared" si="4"/>
        <v>0.5521665239</v>
      </c>
      <c r="R316" s="36">
        <f t="shared" si="5"/>
        <v>0.4478334761</v>
      </c>
      <c r="S316" s="37"/>
      <c r="T316" s="5"/>
      <c r="U316" s="54">
        <v>9.64</v>
      </c>
      <c r="V316" s="55">
        <v>159.75</v>
      </c>
      <c r="W316" s="55">
        <f t="shared" si="62"/>
        <v>169.39</v>
      </c>
      <c r="X316" s="56">
        <v>0.085</v>
      </c>
      <c r="Y316" s="55">
        <f t="shared" si="63"/>
        <v>242.7007562</v>
      </c>
      <c r="Z316" s="55">
        <f t="shared" si="43"/>
        <v>169.39</v>
      </c>
      <c r="AA316" s="57">
        <f t="shared" si="44"/>
        <v>179.03</v>
      </c>
      <c r="AB316" s="5"/>
      <c r="AC316" s="42">
        <f t="shared" si="6"/>
        <v>0</v>
      </c>
      <c r="AD316" s="3">
        <f t="shared" si="7"/>
        <v>1</v>
      </c>
      <c r="AE316" s="3">
        <f t="shared" si="8"/>
        <v>0</v>
      </c>
      <c r="AF316" s="43">
        <f t="shared" si="9"/>
        <v>0</v>
      </c>
      <c r="AG316" s="44">
        <f t="shared" si="10"/>
        <v>0</v>
      </c>
      <c r="AH316" s="45">
        <f t="shared" si="11"/>
        <v>0</v>
      </c>
      <c r="AI316" s="46">
        <f t="shared" si="12"/>
        <v>0</v>
      </c>
      <c r="AJ316" s="47">
        <f t="shared" si="13"/>
        <v>0</v>
      </c>
      <c r="AK316" s="5"/>
      <c r="AL316" s="42">
        <f t="shared" si="14"/>
        <v>1</v>
      </c>
      <c r="AM316" s="3">
        <f t="shared" si="15"/>
        <v>1</v>
      </c>
      <c r="AN316" s="3">
        <f t="shared" si="16"/>
        <v>1</v>
      </c>
      <c r="AO316" s="3">
        <f t="shared" si="17"/>
        <v>228.08</v>
      </c>
      <c r="AP316" s="44">
        <f t="shared" si="18"/>
        <v>5789.92</v>
      </c>
      <c r="AQ316" s="48">
        <f t="shared" si="19"/>
        <v>22.33333333</v>
      </c>
      <c r="AR316" s="46">
        <f t="shared" si="20"/>
        <v>0.001015677534</v>
      </c>
      <c r="AS316" s="47">
        <f t="shared" si="21"/>
        <v>0.0005608231336</v>
      </c>
      <c r="AT316" s="5"/>
      <c r="AU316" s="49">
        <f t="shared" si="27"/>
        <v>5789.92</v>
      </c>
      <c r="AV316" s="50">
        <f t="shared" si="23"/>
        <v>1</v>
      </c>
      <c r="AW316" s="51">
        <f t="shared" si="24"/>
        <v>0.0005617564863</v>
      </c>
      <c r="AX316" s="52">
        <f t="shared" si="25"/>
        <v>0.0003101831263</v>
      </c>
      <c r="AY316" s="5"/>
      <c r="AZ316" s="53">
        <f t="shared" si="26"/>
        <v>1</v>
      </c>
      <c r="BA316" s="5"/>
      <c r="BB316" s="5"/>
      <c r="BC316" s="5"/>
    </row>
    <row r="317" ht="12.75" customHeight="1">
      <c r="A317" s="25"/>
      <c r="B317" s="27" t="s">
        <v>578</v>
      </c>
      <c r="C317" s="113">
        <v>55600.0</v>
      </c>
      <c r="D317" s="28">
        <v>51293.11</v>
      </c>
      <c r="E317" s="29" t="s">
        <v>49</v>
      </c>
      <c r="F317" s="30">
        <v>42519.0</v>
      </c>
      <c r="G317" s="30" t="s">
        <v>40</v>
      </c>
      <c r="H317" s="30">
        <v>42736.0</v>
      </c>
      <c r="I317" s="32">
        <f t="shared" si="1"/>
        <v>7.233333333</v>
      </c>
      <c r="J317" s="33" t="s">
        <v>579</v>
      </c>
      <c r="K317" s="34">
        <v>60000.0</v>
      </c>
      <c r="L317" s="115">
        <v>2876.69</v>
      </c>
      <c r="M317" s="35">
        <v>3318.11</v>
      </c>
      <c r="N317" s="35">
        <v>34.93</v>
      </c>
      <c r="O317" s="35">
        <f t="shared" si="65"/>
        <v>0</v>
      </c>
      <c r="P317" s="35">
        <f t="shared" si="3"/>
        <v>0</v>
      </c>
      <c r="Q317" s="36">
        <f t="shared" si="4"/>
        <v>0</v>
      </c>
      <c r="R317" s="36">
        <f t="shared" si="5"/>
        <v>1</v>
      </c>
      <c r="S317" s="37"/>
      <c r="T317" s="5"/>
      <c r="U317" s="54">
        <v>759.48</v>
      </c>
      <c r="V317" s="55">
        <v>6550.16</v>
      </c>
      <c r="W317" s="55">
        <f t="shared" si="62"/>
        <v>7309.64</v>
      </c>
      <c r="X317" s="56">
        <v>0.0837</v>
      </c>
      <c r="Y317" s="55">
        <f t="shared" si="63"/>
        <v>2117.210946</v>
      </c>
      <c r="Z317" s="55">
        <f t="shared" si="43"/>
        <v>2117.210946</v>
      </c>
      <c r="AA317" s="57">
        <f t="shared" si="44"/>
        <v>2876.690946</v>
      </c>
      <c r="AB317" s="5"/>
      <c r="AC317" s="42">
        <f t="shared" si="6"/>
        <v>1</v>
      </c>
      <c r="AD317" s="3">
        <f t="shared" si="7"/>
        <v>1</v>
      </c>
      <c r="AE317" s="3">
        <f t="shared" si="8"/>
        <v>1</v>
      </c>
      <c r="AF317" s="43">
        <f t="shared" si="9"/>
        <v>3353.04</v>
      </c>
      <c r="AG317" s="44">
        <f t="shared" si="10"/>
        <v>51293.11</v>
      </c>
      <c r="AH317" s="45">
        <f t="shared" si="11"/>
        <v>7.233333333</v>
      </c>
      <c r="AI317" s="46">
        <f t="shared" si="12"/>
        <v>0.01109998564</v>
      </c>
      <c r="AJ317" s="47">
        <f t="shared" si="13"/>
        <v>0</v>
      </c>
      <c r="AK317" s="5"/>
      <c r="AL317" s="42">
        <f t="shared" si="14"/>
        <v>0</v>
      </c>
      <c r="AM317" s="3">
        <f t="shared" si="15"/>
        <v>1</v>
      </c>
      <c r="AN317" s="3">
        <f t="shared" si="16"/>
        <v>0</v>
      </c>
      <c r="AO317" s="3">
        <f t="shared" si="17"/>
        <v>0</v>
      </c>
      <c r="AP317" s="44">
        <f t="shared" si="18"/>
        <v>0</v>
      </c>
      <c r="AQ317" s="48">
        <f t="shared" si="19"/>
        <v>0</v>
      </c>
      <c r="AR317" s="46">
        <f t="shared" si="20"/>
        <v>0</v>
      </c>
      <c r="AS317" s="47">
        <f t="shared" si="21"/>
        <v>0</v>
      </c>
      <c r="AT317" s="5"/>
      <c r="AU317" s="49">
        <f t="shared" si="27"/>
        <v>51293.11</v>
      </c>
      <c r="AV317" s="50">
        <f t="shared" si="23"/>
        <v>1</v>
      </c>
      <c r="AW317" s="51">
        <f t="shared" si="24"/>
        <v>0.004976620963</v>
      </c>
      <c r="AX317" s="52">
        <f t="shared" si="25"/>
        <v>0</v>
      </c>
      <c r="AY317" s="5"/>
      <c r="AZ317" s="53">
        <f t="shared" si="26"/>
        <v>1</v>
      </c>
      <c r="BA317" s="5"/>
      <c r="BB317" s="5"/>
      <c r="BC317" s="5"/>
    </row>
    <row r="318" ht="12.75" customHeight="1">
      <c r="A318" s="25"/>
      <c r="B318" s="27" t="s">
        <v>580</v>
      </c>
      <c r="C318" s="27"/>
      <c r="D318" s="28">
        <v>64507.81</v>
      </c>
      <c r="E318" s="29" t="s">
        <v>39</v>
      </c>
      <c r="F318" s="30">
        <v>42522.0</v>
      </c>
      <c r="G318" s="31" t="s">
        <v>40</v>
      </c>
      <c r="H318" s="30">
        <v>42704.0</v>
      </c>
      <c r="I318" s="32">
        <f t="shared" si="1"/>
        <v>6.066666667</v>
      </c>
      <c r="J318" s="33" t="s">
        <v>129</v>
      </c>
      <c r="K318" s="34">
        <v>80000.0</v>
      </c>
      <c r="L318" s="115">
        <v>3168.67</v>
      </c>
      <c r="M318" s="35">
        <v>5555.19</v>
      </c>
      <c r="N318" s="35">
        <v>195.76</v>
      </c>
      <c r="O318" s="35">
        <f t="shared" si="65"/>
        <v>0</v>
      </c>
      <c r="P318" s="35">
        <f t="shared" si="3"/>
        <v>0</v>
      </c>
      <c r="Q318" s="36">
        <f t="shared" si="4"/>
        <v>0</v>
      </c>
      <c r="R318" s="36">
        <f t="shared" si="5"/>
        <v>1</v>
      </c>
      <c r="S318" s="37"/>
      <c r="T318" s="5"/>
      <c r="U318" s="54">
        <v>703.23</v>
      </c>
      <c r="V318" s="55">
        <v>5586.74</v>
      </c>
      <c r="W318" s="55">
        <f t="shared" si="62"/>
        <v>6289.97</v>
      </c>
      <c r="X318" s="56">
        <v>0.0775</v>
      </c>
      <c r="Y318" s="55">
        <f t="shared" si="63"/>
        <v>2465.435478</v>
      </c>
      <c r="Z318" s="55">
        <f t="shared" si="43"/>
        <v>2465.435478</v>
      </c>
      <c r="AA318" s="57">
        <f t="shared" si="44"/>
        <v>3168.665478</v>
      </c>
      <c r="AB318" s="5"/>
      <c r="AC318" s="42">
        <f t="shared" si="6"/>
        <v>0</v>
      </c>
      <c r="AD318" s="3">
        <f t="shared" si="7"/>
        <v>1</v>
      </c>
      <c r="AE318" s="3">
        <f t="shared" si="8"/>
        <v>0</v>
      </c>
      <c r="AF318" s="43">
        <f t="shared" si="9"/>
        <v>0</v>
      </c>
      <c r="AG318" s="44">
        <f t="shared" si="10"/>
        <v>0</v>
      </c>
      <c r="AH318" s="45">
        <f t="shared" si="11"/>
        <v>0</v>
      </c>
      <c r="AI318" s="46">
        <f t="shared" si="12"/>
        <v>0</v>
      </c>
      <c r="AJ318" s="47">
        <f t="shared" si="13"/>
        <v>0</v>
      </c>
      <c r="AK318" s="5"/>
      <c r="AL318" s="42">
        <f t="shared" si="14"/>
        <v>1</v>
      </c>
      <c r="AM318" s="3">
        <f t="shared" si="15"/>
        <v>1</v>
      </c>
      <c r="AN318" s="3">
        <f t="shared" si="16"/>
        <v>1</v>
      </c>
      <c r="AO318" s="3">
        <f t="shared" si="17"/>
        <v>5750.95</v>
      </c>
      <c r="AP318" s="44">
        <f t="shared" si="18"/>
        <v>64507.81</v>
      </c>
      <c r="AQ318" s="48">
        <f t="shared" si="19"/>
        <v>6.066666667</v>
      </c>
      <c r="AR318" s="46">
        <f t="shared" si="20"/>
        <v>0.01131606886</v>
      </c>
      <c r="AS318" s="47">
        <f t="shared" si="21"/>
        <v>0</v>
      </c>
      <c r="AT318" s="5"/>
      <c r="AU318" s="49">
        <f t="shared" si="27"/>
        <v>64507.81</v>
      </c>
      <c r="AV318" s="50">
        <f t="shared" si="23"/>
        <v>1</v>
      </c>
      <c r="AW318" s="51">
        <f t="shared" si="24"/>
        <v>0.006258753262</v>
      </c>
      <c r="AX318" s="52">
        <f t="shared" si="25"/>
        <v>0</v>
      </c>
      <c r="AY318" s="5"/>
      <c r="AZ318" s="53">
        <f t="shared" si="26"/>
        <v>1</v>
      </c>
      <c r="BA318" s="5"/>
      <c r="BB318" s="5"/>
      <c r="BC318" s="5"/>
    </row>
    <row r="319" ht="12.75" customHeight="1">
      <c r="A319" s="25"/>
      <c r="B319" s="27" t="s">
        <v>581</v>
      </c>
      <c r="C319" s="27"/>
      <c r="D319" s="28">
        <v>16408.0</v>
      </c>
      <c r="E319" s="29" t="s">
        <v>49</v>
      </c>
      <c r="F319" s="30">
        <v>42550.0</v>
      </c>
      <c r="G319" s="30" t="s">
        <v>40</v>
      </c>
      <c r="H319" s="30">
        <v>42611.0</v>
      </c>
      <c r="I319" s="32">
        <f t="shared" si="1"/>
        <v>2.033333333</v>
      </c>
      <c r="J319" s="33" t="s">
        <v>216</v>
      </c>
      <c r="K319" s="34">
        <v>18000.0</v>
      </c>
      <c r="L319" s="115">
        <v>967.13</v>
      </c>
      <c r="M319" s="35">
        <v>1049.17</v>
      </c>
      <c r="N319" s="35">
        <v>40.61</v>
      </c>
      <c r="O319" s="35">
        <f t="shared" si="65"/>
        <v>0</v>
      </c>
      <c r="P319" s="35">
        <f t="shared" si="3"/>
        <v>464.91</v>
      </c>
      <c r="Q319" s="36">
        <f t="shared" si="4"/>
        <v>0.0283343491</v>
      </c>
      <c r="R319" s="36">
        <f t="shared" si="5"/>
        <v>0.9716656509</v>
      </c>
      <c r="S319" s="37"/>
      <c r="T319" s="5"/>
      <c r="U319" s="54">
        <v>178.2</v>
      </c>
      <c r="V319" s="55">
        <v>2689.45</v>
      </c>
      <c r="W319" s="55">
        <f t="shared" si="62"/>
        <v>2867.65</v>
      </c>
      <c r="X319" s="56">
        <v>0.0975</v>
      </c>
      <c r="Y319" s="55">
        <f t="shared" si="63"/>
        <v>788.9326027</v>
      </c>
      <c r="Z319" s="55">
        <f t="shared" si="43"/>
        <v>788.9326027</v>
      </c>
      <c r="AA319" s="57">
        <f t="shared" si="44"/>
        <v>967.1326027</v>
      </c>
      <c r="AB319" s="5"/>
      <c r="AC319" s="42">
        <f t="shared" si="6"/>
        <v>1</v>
      </c>
      <c r="AD319" s="3">
        <f t="shared" si="7"/>
        <v>1</v>
      </c>
      <c r="AE319" s="3">
        <f t="shared" si="8"/>
        <v>1</v>
      </c>
      <c r="AF319" s="43">
        <f t="shared" si="9"/>
        <v>1089.78</v>
      </c>
      <c r="AG319" s="44">
        <f t="shared" si="10"/>
        <v>16408</v>
      </c>
      <c r="AH319" s="45">
        <f t="shared" si="11"/>
        <v>2.033333333</v>
      </c>
      <c r="AI319" s="46">
        <f t="shared" si="12"/>
        <v>0.003550741305</v>
      </c>
      <c r="AJ319" s="47">
        <f t="shared" si="13"/>
        <v>0.0001006079437</v>
      </c>
      <c r="AK319" s="5"/>
      <c r="AL319" s="42">
        <f t="shared" si="14"/>
        <v>0</v>
      </c>
      <c r="AM319" s="3">
        <f t="shared" si="15"/>
        <v>1</v>
      </c>
      <c r="AN319" s="3">
        <f t="shared" si="16"/>
        <v>0</v>
      </c>
      <c r="AO319" s="3">
        <f t="shared" si="17"/>
        <v>0</v>
      </c>
      <c r="AP319" s="44">
        <f t="shared" si="18"/>
        <v>0</v>
      </c>
      <c r="AQ319" s="48">
        <f t="shared" si="19"/>
        <v>0</v>
      </c>
      <c r="AR319" s="46">
        <f t="shared" si="20"/>
        <v>0</v>
      </c>
      <c r="AS319" s="47">
        <f t="shared" si="21"/>
        <v>0</v>
      </c>
      <c r="AT319" s="5"/>
      <c r="AU319" s="49">
        <f t="shared" si="27"/>
        <v>16408</v>
      </c>
      <c r="AV319" s="50">
        <f t="shared" si="23"/>
        <v>1</v>
      </c>
      <c r="AW319" s="51">
        <f t="shared" si="24"/>
        <v>0.001591956439</v>
      </c>
      <c r="AX319" s="52">
        <f t="shared" si="25"/>
        <v>0.0000451070495</v>
      </c>
      <c r="AY319" s="5"/>
      <c r="AZ319" s="53">
        <f t="shared" si="26"/>
        <v>1</v>
      </c>
      <c r="BA319" s="5"/>
      <c r="BB319" s="5"/>
      <c r="BC319" s="5"/>
    </row>
    <row r="320" ht="12.75" customHeight="1">
      <c r="A320" s="25"/>
      <c r="B320" s="27" t="s">
        <v>86</v>
      </c>
      <c r="C320" s="27"/>
      <c r="D320" s="28">
        <v>51765.22</v>
      </c>
      <c r="E320" s="29" t="s">
        <v>39</v>
      </c>
      <c r="F320" s="30">
        <v>42580.0</v>
      </c>
      <c r="G320" s="30" t="s">
        <v>40</v>
      </c>
      <c r="H320" s="30">
        <v>42642.0</v>
      </c>
      <c r="I320" s="32">
        <f t="shared" si="1"/>
        <v>2.066666667</v>
      </c>
      <c r="J320" s="33" t="s">
        <v>582</v>
      </c>
      <c r="K320" s="34">
        <v>60000.0</v>
      </c>
      <c r="L320" s="115">
        <v>1872.18</v>
      </c>
      <c r="M320" s="35">
        <v>346.11</v>
      </c>
      <c r="N320" s="35">
        <v>16.49</v>
      </c>
      <c r="O320" s="35">
        <f t="shared" si="65"/>
        <v>0</v>
      </c>
      <c r="P320" s="35">
        <f t="shared" si="3"/>
        <v>0</v>
      </c>
      <c r="Q320" s="36">
        <f t="shared" si="4"/>
        <v>0</v>
      </c>
      <c r="R320" s="36">
        <f t="shared" si="5"/>
        <v>1</v>
      </c>
      <c r="S320" s="37"/>
      <c r="T320" s="5"/>
      <c r="U320" s="54">
        <v>95.43</v>
      </c>
      <c r="V320" s="55">
        <v>2027.66</v>
      </c>
      <c r="W320" s="55">
        <f t="shared" si="62"/>
        <v>2123.09</v>
      </c>
      <c r="X320" s="56">
        <v>0.0696</v>
      </c>
      <c r="Y320" s="55">
        <f t="shared" si="63"/>
        <v>1776.752537</v>
      </c>
      <c r="Z320" s="55">
        <f t="shared" si="43"/>
        <v>1776.752537</v>
      </c>
      <c r="AA320" s="57">
        <f t="shared" si="44"/>
        <v>1872.182537</v>
      </c>
      <c r="AB320" s="5"/>
      <c r="AC320" s="42">
        <f t="shared" si="6"/>
        <v>0</v>
      </c>
      <c r="AD320" s="3">
        <f t="shared" si="7"/>
        <v>1</v>
      </c>
      <c r="AE320" s="3">
        <f t="shared" si="8"/>
        <v>0</v>
      </c>
      <c r="AF320" s="43">
        <f t="shared" si="9"/>
        <v>0</v>
      </c>
      <c r="AG320" s="44">
        <f t="shared" si="10"/>
        <v>0</v>
      </c>
      <c r="AH320" s="45">
        <f t="shared" si="11"/>
        <v>0</v>
      </c>
      <c r="AI320" s="46">
        <f t="shared" si="12"/>
        <v>0</v>
      </c>
      <c r="AJ320" s="47">
        <f t="shared" si="13"/>
        <v>0</v>
      </c>
      <c r="AK320" s="5"/>
      <c r="AL320" s="42">
        <f t="shared" si="14"/>
        <v>1</v>
      </c>
      <c r="AM320" s="3">
        <f t="shared" si="15"/>
        <v>1</v>
      </c>
      <c r="AN320" s="3">
        <f t="shared" si="16"/>
        <v>1</v>
      </c>
      <c r="AO320" s="3">
        <f t="shared" si="17"/>
        <v>362.6</v>
      </c>
      <c r="AP320" s="44">
        <f t="shared" si="18"/>
        <v>51765.22</v>
      </c>
      <c r="AQ320" s="48">
        <f t="shared" si="19"/>
        <v>2.066666667</v>
      </c>
      <c r="AR320" s="46">
        <f t="shared" si="20"/>
        <v>0.009080742224</v>
      </c>
      <c r="AS320" s="47">
        <f t="shared" si="21"/>
        <v>0</v>
      </c>
      <c r="AT320" s="5"/>
      <c r="AU320" s="49">
        <f t="shared" si="27"/>
        <v>51765.22</v>
      </c>
      <c r="AV320" s="50">
        <f t="shared" si="23"/>
        <v>1</v>
      </c>
      <c r="AW320" s="51">
        <f t="shared" si="24"/>
        <v>0.00502242658</v>
      </c>
      <c r="AX320" s="52">
        <f t="shared" si="25"/>
        <v>0</v>
      </c>
      <c r="AY320" s="5"/>
      <c r="AZ320" s="53">
        <f t="shared" si="26"/>
        <v>1</v>
      </c>
      <c r="BA320" s="5"/>
      <c r="BB320" s="5"/>
      <c r="BC320" s="5"/>
    </row>
    <row r="321" ht="12.75" customHeight="1">
      <c r="A321" s="25"/>
      <c r="B321" s="27" t="s">
        <v>583</v>
      </c>
      <c r="C321" s="113">
        <v>23490.0</v>
      </c>
      <c r="D321" s="28">
        <v>22948.17</v>
      </c>
      <c r="E321" s="29" t="s">
        <v>49</v>
      </c>
      <c r="F321" s="30">
        <v>42580.0</v>
      </c>
      <c r="G321" s="30" t="s">
        <v>40</v>
      </c>
      <c r="H321" s="30">
        <v>42766.0</v>
      </c>
      <c r="I321" s="32">
        <f t="shared" si="1"/>
        <v>6.2</v>
      </c>
      <c r="J321" s="33" t="s">
        <v>129</v>
      </c>
      <c r="K321" s="34">
        <v>25000.0</v>
      </c>
      <c r="L321" s="115">
        <v>1248.47</v>
      </c>
      <c r="M321" s="35">
        <v>3582.5</v>
      </c>
      <c r="N321" s="35">
        <v>437.09999999999997</v>
      </c>
      <c r="O321" s="35">
        <f t="shared" si="65"/>
        <v>0</v>
      </c>
      <c r="P321" s="35">
        <f t="shared" si="3"/>
        <v>3216.24</v>
      </c>
      <c r="Q321" s="36">
        <f t="shared" si="4"/>
        <v>0.140152352</v>
      </c>
      <c r="R321" s="36">
        <f t="shared" si="5"/>
        <v>0.859847648</v>
      </c>
      <c r="S321" s="37"/>
      <c r="T321" s="5"/>
      <c r="U321" s="54">
        <v>448.36</v>
      </c>
      <c r="V321" s="55">
        <v>3172.11</v>
      </c>
      <c r="W321" s="55">
        <f t="shared" si="62"/>
        <v>3620.47</v>
      </c>
      <c r="X321" s="56">
        <v>0.0707</v>
      </c>
      <c r="Y321" s="55">
        <f t="shared" si="63"/>
        <v>800.1052368</v>
      </c>
      <c r="Z321" s="55">
        <f t="shared" si="43"/>
        <v>800.1052368</v>
      </c>
      <c r="AA321" s="57">
        <f t="shared" si="44"/>
        <v>1248.465237</v>
      </c>
      <c r="AB321" s="5"/>
      <c r="AC321" s="42">
        <f t="shared" si="6"/>
        <v>1</v>
      </c>
      <c r="AD321" s="3">
        <f t="shared" si="7"/>
        <v>1</v>
      </c>
      <c r="AE321" s="3">
        <f t="shared" si="8"/>
        <v>1</v>
      </c>
      <c r="AF321" s="43">
        <f t="shared" si="9"/>
        <v>4019.6</v>
      </c>
      <c r="AG321" s="44">
        <f t="shared" si="10"/>
        <v>22948.17</v>
      </c>
      <c r="AH321" s="45">
        <f t="shared" si="11"/>
        <v>6.2</v>
      </c>
      <c r="AI321" s="46">
        <f t="shared" si="12"/>
        <v>0.004966054065</v>
      </c>
      <c r="AJ321" s="47">
        <f t="shared" si="13"/>
        <v>0.0006960041574</v>
      </c>
      <c r="AK321" s="5"/>
      <c r="AL321" s="42">
        <f t="shared" si="14"/>
        <v>0</v>
      </c>
      <c r="AM321" s="3">
        <f t="shared" si="15"/>
        <v>1</v>
      </c>
      <c r="AN321" s="3">
        <f t="shared" si="16"/>
        <v>0</v>
      </c>
      <c r="AO321" s="3">
        <f t="shared" si="17"/>
        <v>0</v>
      </c>
      <c r="AP321" s="44">
        <f t="shared" si="18"/>
        <v>0</v>
      </c>
      <c r="AQ321" s="48">
        <f t="shared" si="19"/>
        <v>0</v>
      </c>
      <c r="AR321" s="46">
        <f t="shared" si="20"/>
        <v>0</v>
      </c>
      <c r="AS321" s="47">
        <f t="shared" si="21"/>
        <v>0</v>
      </c>
      <c r="AT321" s="5"/>
      <c r="AU321" s="49">
        <f t="shared" si="27"/>
        <v>22948.17</v>
      </c>
      <c r="AV321" s="50">
        <f t="shared" si="23"/>
        <v>1</v>
      </c>
      <c r="AW321" s="51">
        <f t="shared" si="24"/>
        <v>0.002226504571</v>
      </c>
      <c r="AX321" s="52">
        <f t="shared" si="25"/>
        <v>0.0003120498524</v>
      </c>
      <c r="AY321" s="5"/>
      <c r="AZ321" s="53">
        <f t="shared" si="26"/>
        <v>1</v>
      </c>
      <c r="BA321" s="5"/>
      <c r="BB321" s="5"/>
      <c r="BC321" s="5"/>
    </row>
    <row r="322" ht="12.75" customHeight="1">
      <c r="A322" s="25"/>
      <c r="B322" s="27" t="s">
        <v>584</v>
      </c>
      <c r="C322" s="113">
        <v>19090.95</v>
      </c>
      <c r="D322" s="28">
        <v>17168.31</v>
      </c>
      <c r="E322" s="29" t="s">
        <v>39</v>
      </c>
      <c r="F322" s="30">
        <v>42580.0</v>
      </c>
      <c r="G322" s="30" t="s">
        <v>40</v>
      </c>
      <c r="H322" s="30">
        <v>42884.0</v>
      </c>
      <c r="I322" s="32">
        <f t="shared" si="1"/>
        <v>10.13333333</v>
      </c>
      <c r="J322" s="33" t="s">
        <v>129</v>
      </c>
      <c r="K322" s="34">
        <v>10000.0</v>
      </c>
      <c r="L322" s="115">
        <v>1005.46</v>
      </c>
      <c r="M322" s="35">
        <v>1180.08</v>
      </c>
      <c r="N322" s="35">
        <v>0.0</v>
      </c>
      <c r="O322" s="35">
        <f t="shared" si="65"/>
        <v>7168.31</v>
      </c>
      <c r="P322" s="35">
        <f t="shared" si="3"/>
        <v>9353.85</v>
      </c>
      <c r="Q322" s="36">
        <f t="shared" si="4"/>
        <v>0.5448323102</v>
      </c>
      <c r="R322" s="36">
        <f t="shared" si="5"/>
        <v>0.4551676898</v>
      </c>
      <c r="S322" s="37"/>
      <c r="T322" s="5"/>
      <c r="U322" s="54">
        <v>224.84</v>
      </c>
      <c r="V322" s="55">
        <v>2929.15</v>
      </c>
      <c r="W322" s="55">
        <f t="shared" si="62"/>
        <v>3153.99</v>
      </c>
      <c r="X322" s="56">
        <v>0.0922</v>
      </c>
      <c r="Y322" s="55">
        <f t="shared" si="63"/>
        <v>780.6171856</v>
      </c>
      <c r="Z322" s="55">
        <f t="shared" si="43"/>
        <v>780.6171856</v>
      </c>
      <c r="AA322" s="57">
        <f t="shared" si="44"/>
        <v>1005.457186</v>
      </c>
      <c r="AB322" s="5"/>
      <c r="AC322" s="42">
        <f t="shared" si="6"/>
        <v>0</v>
      </c>
      <c r="AD322" s="3">
        <f t="shared" si="7"/>
        <v>1</v>
      </c>
      <c r="AE322" s="3">
        <f t="shared" si="8"/>
        <v>0</v>
      </c>
      <c r="AF322" s="43">
        <f t="shared" si="9"/>
        <v>0</v>
      </c>
      <c r="AG322" s="44">
        <f t="shared" si="10"/>
        <v>0</v>
      </c>
      <c r="AH322" s="45">
        <f t="shared" si="11"/>
        <v>0</v>
      </c>
      <c r="AI322" s="46">
        <f t="shared" si="12"/>
        <v>0</v>
      </c>
      <c r="AJ322" s="47">
        <f t="shared" si="13"/>
        <v>0</v>
      </c>
      <c r="AK322" s="5"/>
      <c r="AL322" s="42">
        <f t="shared" si="14"/>
        <v>1</v>
      </c>
      <c r="AM322" s="3">
        <f t="shared" si="15"/>
        <v>1</v>
      </c>
      <c r="AN322" s="3">
        <f t="shared" si="16"/>
        <v>1</v>
      </c>
      <c r="AO322" s="3">
        <f t="shared" si="17"/>
        <v>1180.08</v>
      </c>
      <c r="AP322" s="44">
        <f t="shared" si="18"/>
        <v>17168.31</v>
      </c>
      <c r="AQ322" s="48">
        <f t="shared" si="19"/>
        <v>10.13333333</v>
      </c>
      <c r="AR322" s="46">
        <f t="shared" si="20"/>
        <v>0.003011693904</v>
      </c>
      <c r="AS322" s="47">
        <f t="shared" si="21"/>
        <v>0.001640868148</v>
      </c>
      <c r="AT322" s="5"/>
      <c r="AU322" s="49">
        <f t="shared" si="27"/>
        <v>17168.31</v>
      </c>
      <c r="AV322" s="50">
        <f t="shared" si="23"/>
        <v>1</v>
      </c>
      <c r="AW322" s="51">
        <f t="shared" si="24"/>
        <v>0.001665724138</v>
      </c>
      <c r="AX322" s="52">
        <f t="shared" si="25"/>
        <v>0.0009075403304</v>
      </c>
      <c r="AY322" s="5"/>
      <c r="AZ322" s="53">
        <f t="shared" si="26"/>
        <v>1</v>
      </c>
      <c r="BA322" s="5"/>
      <c r="BB322" s="5"/>
      <c r="BC322" s="5"/>
    </row>
    <row r="323" ht="12.75" customHeight="1">
      <c r="A323" s="25"/>
      <c r="B323" s="27" t="s">
        <v>585</v>
      </c>
      <c r="C323" s="27"/>
      <c r="D323" s="28">
        <v>32834.0</v>
      </c>
      <c r="E323" s="29" t="s">
        <v>49</v>
      </c>
      <c r="F323" s="30">
        <v>42611.0</v>
      </c>
      <c r="G323" s="30" t="s">
        <v>40</v>
      </c>
      <c r="H323" s="30">
        <v>42672.0</v>
      </c>
      <c r="I323" s="32">
        <f t="shared" si="1"/>
        <v>2.033333333</v>
      </c>
      <c r="J323" s="33" t="s">
        <v>586</v>
      </c>
      <c r="K323" s="34">
        <v>30000.0</v>
      </c>
      <c r="L323" s="115">
        <v>2061.27</v>
      </c>
      <c r="M323" s="35">
        <v>3630.45</v>
      </c>
      <c r="N323" s="35">
        <v>0.0</v>
      </c>
      <c r="O323" s="35">
        <f t="shared" si="65"/>
        <v>2834</v>
      </c>
      <c r="P323" s="35">
        <f t="shared" si="3"/>
        <v>8525.72</v>
      </c>
      <c r="Q323" s="36">
        <f t="shared" si="4"/>
        <v>0.2596613267</v>
      </c>
      <c r="R323" s="36">
        <f t="shared" si="5"/>
        <v>0.7403386733</v>
      </c>
      <c r="S323" s="37"/>
      <c r="T323" s="5"/>
      <c r="U323" s="54">
        <v>806.38</v>
      </c>
      <c r="V323" s="55">
        <v>2405.73</v>
      </c>
      <c r="W323" s="55">
        <f t="shared" si="62"/>
        <v>3212.11</v>
      </c>
      <c r="X323" s="56">
        <v>0.0775</v>
      </c>
      <c r="Y323" s="55">
        <f t="shared" si="63"/>
        <v>1254.888493</v>
      </c>
      <c r="Z323" s="55">
        <f t="shared" si="43"/>
        <v>1254.888493</v>
      </c>
      <c r="AA323" s="57">
        <f t="shared" si="44"/>
        <v>2061.268493</v>
      </c>
      <c r="AB323" s="5"/>
      <c r="AC323" s="42">
        <f t="shared" si="6"/>
        <v>1</v>
      </c>
      <c r="AD323" s="3">
        <f t="shared" si="7"/>
        <v>1</v>
      </c>
      <c r="AE323" s="3">
        <f t="shared" si="8"/>
        <v>1</v>
      </c>
      <c r="AF323" s="43">
        <f t="shared" si="9"/>
        <v>3630.45</v>
      </c>
      <c r="AG323" s="44">
        <f t="shared" si="10"/>
        <v>32834</v>
      </c>
      <c r="AH323" s="45">
        <f t="shared" si="11"/>
        <v>2.033333333</v>
      </c>
      <c r="AI323" s="46">
        <f t="shared" si="12"/>
        <v>0.007105377865</v>
      </c>
      <c r="AJ323" s="47">
        <f t="shared" si="13"/>
        <v>0.001844991843</v>
      </c>
      <c r="AK323" s="5"/>
      <c r="AL323" s="42">
        <f t="shared" si="14"/>
        <v>0</v>
      </c>
      <c r="AM323" s="3">
        <f t="shared" si="15"/>
        <v>1</v>
      </c>
      <c r="AN323" s="3">
        <f t="shared" si="16"/>
        <v>0</v>
      </c>
      <c r="AO323" s="3">
        <f t="shared" si="17"/>
        <v>0</v>
      </c>
      <c r="AP323" s="44">
        <f t="shared" si="18"/>
        <v>0</v>
      </c>
      <c r="AQ323" s="48">
        <f t="shared" si="19"/>
        <v>0</v>
      </c>
      <c r="AR323" s="46">
        <f t="shared" si="20"/>
        <v>0</v>
      </c>
      <c r="AS323" s="47">
        <f t="shared" si="21"/>
        <v>0</v>
      </c>
      <c r="AT323" s="5"/>
      <c r="AU323" s="49">
        <f t="shared" si="27"/>
        <v>32834</v>
      </c>
      <c r="AV323" s="50">
        <f t="shared" si="23"/>
        <v>1</v>
      </c>
      <c r="AW323" s="51">
        <f t="shared" si="24"/>
        <v>0.003185659296</v>
      </c>
      <c r="AX323" s="52">
        <f t="shared" si="25"/>
        <v>0.0008271925192</v>
      </c>
      <c r="AY323" s="5"/>
      <c r="AZ323" s="53">
        <f t="shared" si="26"/>
        <v>1</v>
      </c>
      <c r="BA323" s="5"/>
      <c r="BB323" s="5"/>
      <c r="BC323" s="5"/>
    </row>
    <row r="324" ht="12.75" customHeight="1">
      <c r="A324" s="25"/>
      <c r="B324" s="27" t="s">
        <v>587</v>
      </c>
      <c r="C324" s="113">
        <v>20000.0</v>
      </c>
      <c r="D324" s="28">
        <v>18764.2</v>
      </c>
      <c r="E324" s="29" t="s">
        <v>49</v>
      </c>
      <c r="F324" s="30">
        <v>42611.0</v>
      </c>
      <c r="G324" s="30" t="s">
        <v>40</v>
      </c>
      <c r="H324" s="30">
        <v>42825.0</v>
      </c>
      <c r="I324" s="32">
        <f t="shared" si="1"/>
        <v>7.133333333</v>
      </c>
      <c r="J324" s="33" t="s">
        <v>129</v>
      </c>
      <c r="K324" s="34">
        <v>6500.0</v>
      </c>
      <c r="L324" s="115">
        <v>1231.43</v>
      </c>
      <c r="M324" s="35">
        <v>2342.68</v>
      </c>
      <c r="N324" s="35">
        <v>0.0</v>
      </c>
      <c r="O324" s="35">
        <f t="shared" si="65"/>
        <v>12264.2</v>
      </c>
      <c r="P324" s="35">
        <f t="shared" si="3"/>
        <v>15838.31</v>
      </c>
      <c r="Q324" s="36">
        <f t="shared" si="4"/>
        <v>0.8440706238</v>
      </c>
      <c r="R324" s="36">
        <f t="shared" si="5"/>
        <v>0.1559293762</v>
      </c>
      <c r="S324" s="37"/>
      <c r="T324" s="5"/>
      <c r="U324" s="54">
        <v>404.16</v>
      </c>
      <c r="V324" s="55">
        <v>1847.57</v>
      </c>
      <c r="W324" s="55">
        <f t="shared" si="62"/>
        <v>2251.73</v>
      </c>
      <c r="X324" s="56">
        <v>0.0894</v>
      </c>
      <c r="Y324" s="55">
        <f t="shared" si="63"/>
        <v>827.2698805</v>
      </c>
      <c r="Z324" s="55">
        <f t="shared" si="43"/>
        <v>827.2698805</v>
      </c>
      <c r="AA324" s="57">
        <f t="shared" si="44"/>
        <v>1231.429881</v>
      </c>
      <c r="AB324" s="5"/>
      <c r="AC324" s="42">
        <f t="shared" si="6"/>
        <v>1</v>
      </c>
      <c r="AD324" s="3">
        <f t="shared" si="7"/>
        <v>1</v>
      </c>
      <c r="AE324" s="3">
        <f t="shared" si="8"/>
        <v>1</v>
      </c>
      <c r="AF324" s="43">
        <f t="shared" si="9"/>
        <v>2342.68</v>
      </c>
      <c r="AG324" s="44">
        <f t="shared" si="10"/>
        <v>18764.2</v>
      </c>
      <c r="AH324" s="45">
        <f t="shared" si="11"/>
        <v>7.133333333</v>
      </c>
      <c r="AI324" s="46">
        <f t="shared" si="12"/>
        <v>0.00406063018</v>
      </c>
      <c r="AJ324" s="47">
        <f t="shared" si="13"/>
        <v>0.003427458649</v>
      </c>
      <c r="AK324" s="5"/>
      <c r="AL324" s="42">
        <f t="shared" si="14"/>
        <v>0</v>
      </c>
      <c r="AM324" s="3">
        <f t="shared" si="15"/>
        <v>1</v>
      </c>
      <c r="AN324" s="3">
        <f t="shared" si="16"/>
        <v>0</v>
      </c>
      <c r="AO324" s="3">
        <f t="shared" si="17"/>
        <v>0</v>
      </c>
      <c r="AP324" s="44">
        <f t="shared" si="18"/>
        <v>0</v>
      </c>
      <c r="AQ324" s="48">
        <f t="shared" si="19"/>
        <v>0</v>
      </c>
      <c r="AR324" s="46">
        <f t="shared" si="20"/>
        <v>0</v>
      </c>
      <c r="AS324" s="47">
        <f t="shared" si="21"/>
        <v>0</v>
      </c>
      <c r="AT324" s="5"/>
      <c r="AU324" s="49">
        <f t="shared" si="27"/>
        <v>18764.2</v>
      </c>
      <c r="AV324" s="50">
        <f t="shared" si="23"/>
        <v>1</v>
      </c>
      <c r="AW324" s="51">
        <f t="shared" si="24"/>
        <v>0.001820562471</v>
      </c>
      <c r="AX324" s="52">
        <f t="shared" si="25"/>
        <v>0.0015366833</v>
      </c>
      <c r="AY324" s="5"/>
      <c r="AZ324" s="53">
        <f t="shared" si="26"/>
        <v>1</v>
      </c>
      <c r="BA324" s="5"/>
      <c r="BB324" s="5"/>
      <c r="BC324" s="5"/>
    </row>
    <row r="325" ht="12.75" customHeight="1">
      <c r="A325" s="25"/>
      <c r="B325" s="27" t="s">
        <v>588</v>
      </c>
      <c r="C325" s="113">
        <v>15210.0</v>
      </c>
      <c r="D325" s="28">
        <v>13734.18</v>
      </c>
      <c r="E325" s="29" t="s">
        <v>49</v>
      </c>
      <c r="F325" s="30">
        <v>42642.0</v>
      </c>
      <c r="G325" s="30" t="s">
        <v>40</v>
      </c>
      <c r="H325" s="30">
        <v>42825.0</v>
      </c>
      <c r="I325" s="32">
        <f t="shared" si="1"/>
        <v>6.1</v>
      </c>
      <c r="J325" s="33" t="s">
        <v>129</v>
      </c>
      <c r="K325" s="34">
        <v>5000.0</v>
      </c>
      <c r="L325" s="115">
        <v>730.75</v>
      </c>
      <c r="M325" s="35">
        <v>903.32</v>
      </c>
      <c r="N325" s="35">
        <v>0.0</v>
      </c>
      <c r="O325" s="35">
        <f t="shared" si="65"/>
        <v>8734.18</v>
      </c>
      <c r="P325" s="35">
        <f t="shared" si="3"/>
        <v>10368.25</v>
      </c>
      <c r="Q325" s="36">
        <f t="shared" si="4"/>
        <v>0.7549231188</v>
      </c>
      <c r="R325" s="36">
        <f t="shared" si="5"/>
        <v>0.2450768812</v>
      </c>
      <c r="S325" s="37"/>
      <c r="T325" s="5"/>
      <c r="U325" s="54">
        <v>90.02</v>
      </c>
      <c r="V325" s="55">
        <v>759.67</v>
      </c>
      <c r="W325" s="55">
        <f t="shared" si="62"/>
        <v>849.69</v>
      </c>
      <c r="X325" s="56">
        <v>0.0946</v>
      </c>
      <c r="Y325" s="55">
        <f t="shared" si="63"/>
        <v>640.7277179</v>
      </c>
      <c r="Z325" s="55">
        <f t="shared" si="43"/>
        <v>640.7277179</v>
      </c>
      <c r="AA325" s="57">
        <f t="shared" si="44"/>
        <v>730.7477179</v>
      </c>
      <c r="AB325" s="5"/>
      <c r="AC325" s="42">
        <f t="shared" si="6"/>
        <v>1</v>
      </c>
      <c r="AD325" s="3">
        <f t="shared" si="7"/>
        <v>1</v>
      </c>
      <c r="AE325" s="3">
        <f t="shared" si="8"/>
        <v>1</v>
      </c>
      <c r="AF325" s="43">
        <f t="shared" si="9"/>
        <v>903.32</v>
      </c>
      <c r="AG325" s="44">
        <f t="shared" si="10"/>
        <v>13734.18</v>
      </c>
      <c r="AH325" s="45">
        <f t="shared" si="11"/>
        <v>6.1</v>
      </c>
      <c r="AI325" s="46">
        <f t="shared" si="12"/>
        <v>0.002972118492</v>
      </c>
      <c r="AJ325" s="47">
        <f t="shared" si="13"/>
        <v>0.002243720962</v>
      </c>
      <c r="AK325" s="5"/>
      <c r="AL325" s="42">
        <f t="shared" si="14"/>
        <v>0</v>
      </c>
      <c r="AM325" s="3">
        <f t="shared" si="15"/>
        <v>1</v>
      </c>
      <c r="AN325" s="3">
        <f t="shared" si="16"/>
        <v>0</v>
      </c>
      <c r="AO325" s="3">
        <f t="shared" si="17"/>
        <v>0</v>
      </c>
      <c r="AP325" s="44">
        <f t="shared" si="18"/>
        <v>0</v>
      </c>
      <c r="AQ325" s="48">
        <f t="shared" si="19"/>
        <v>0</v>
      </c>
      <c r="AR325" s="46">
        <f t="shared" si="20"/>
        <v>0</v>
      </c>
      <c r="AS325" s="47">
        <f t="shared" si="21"/>
        <v>0</v>
      </c>
      <c r="AT325" s="5"/>
      <c r="AU325" s="49">
        <f t="shared" si="27"/>
        <v>13734.18</v>
      </c>
      <c r="AV325" s="50">
        <f t="shared" si="23"/>
        <v>1</v>
      </c>
      <c r="AW325" s="51">
        <f t="shared" si="24"/>
        <v>0.001332533904</v>
      </c>
      <c r="AX325" s="52">
        <f t="shared" si="25"/>
        <v>0.00100596065</v>
      </c>
      <c r="AY325" s="5"/>
      <c r="AZ325" s="53">
        <f t="shared" si="26"/>
        <v>1</v>
      </c>
      <c r="BA325" s="5"/>
      <c r="BB325" s="5"/>
      <c r="BC325" s="5"/>
    </row>
    <row r="326" ht="12.75" customHeight="1">
      <c r="A326" s="25"/>
      <c r="B326" s="27" t="s">
        <v>589</v>
      </c>
      <c r="C326" s="27">
        <v>12600.0</v>
      </c>
      <c r="D326" s="28">
        <v>11089.55</v>
      </c>
      <c r="E326" s="29" t="s">
        <v>49</v>
      </c>
      <c r="F326" s="30">
        <v>42672.0</v>
      </c>
      <c r="G326" s="30" t="s">
        <v>40</v>
      </c>
      <c r="H326" s="30">
        <v>42704.0</v>
      </c>
      <c r="I326" s="32">
        <f t="shared" si="1"/>
        <v>1.066666667</v>
      </c>
      <c r="J326" s="33" t="s">
        <v>129</v>
      </c>
      <c r="K326" s="34">
        <v>11350.0</v>
      </c>
      <c r="L326" s="115">
        <v>614.33</v>
      </c>
      <c r="M326" s="35">
        <v>1283.95</v>
      </c>
      <c r="N326" s="35">
        <v>25.68</v>
      </c>
      <c r="O326" s="35">
        <f t="shared" si="65"/>
        <v>0</v>
      </c>
      <c r="P326" s="35">
        <f t="shared" si="3"/>
        <v>1663.51</v>
      </c>
      <c r="Q326" s="36">
        <f t="shared" si="4"/>
        <v>0.1500069886</v>
      </c>
      <c r="R326" s="36">
        <f t="shared" si="5"/>
        <v>0.8499930114</v>
      </c>
      <c r="S326" s="37"/>
      <c r="T326" s="5"/>
      <c r="U326" s="54">
        <v>81.12</v>
      </c>
      <c r="V326" s="55">
        <v>1484.21</v>
      </c>
      <c r="W326" s="55">
        <f t="shared" si="62"/>
        <v>1565.33</v>
      </c>
      <c r="X326" s="56">
        <v>0.0975</v>
      </c>
      <c r="Y326" s="55">
        <f t="shared" si="63"/>
        <v>533.2098699</v>
      </c>
      <c r="Z326" s="55">
        <f t="shared" si="43"/>
        <v>533.2098699</v>
      </c>
      <c r="AA326" s="57">
        <f t="shared" si="44"/>
        <v>614.3298699</v>
      </c>
      <c r="AB326" s="5"/>
      <c r="AC326" s="42">
        <f t="shared" si="6"/>
        <v>1</v>
      </c>
      <c r="AD326" s="3">
        <f t="shared" si="7"/>
        <v>1</v>
      </c>
      <c r="AE326" s="3">
        <f t="shared" si="8"/>
        <v>1</v>
      </c>
      <c r="AF326" s="43">
        <f t="shared" si="9"/>
        <v>1309.63</v>
      </c>
      <c r="AG326" s="44">
        <f t="shared" si="10"/>
        <v>11089.55</v>
      </c>
      <c r="AH326" s="45">
        <f t="shared" si="11"/>
        <v>1.066666667</v>
      </c>
      <c r="AI326" s="46">
        <f t="shared" si="12"/>
        <v>0.002399812484</v>
      </c>
      <c r="AJ326" s="47">
        <f t="shared" si="13"/>
        <v>0.0003599886439</v>
      </c>
      <c r="AK326" s="5"/>
      <c r="AL326" s="42">
        <f t="shared" si="14"/>
        <v>0</v>
      </c>
      <c r="AM326" s="3">
        <f t="shared" si="15"/>
        <v>1</v>
      </c>
      <c r="AN326" s="3">
        <f t="shared" si="16"/>
        <v>0</v>
      </c>
      <c r="AO326" s="3">
        <f t="shared" si="17"/>
        <v>0</v>
      </c>
      <c r="AP326" s="44">
        <f t="shared" si="18"/>
        <v>0</v>
      </c>
      <c r="AQ326" s="48">
        <f t="shared" si="19"/>
        <v>0</v>
      </c>
      <c r="AR326" s="46">
        <f t="shared" si="20"/>
        <v>0</v>
      </c>
      <c r="AS326" s="47">
        <f t="shared" si="21"/>
        <v>0</v>
      </c>
      <c r="AT326" s="5"/>
      <c r="AU326" s="49">
        <f t="shared" si="27"/>
        <v>11089.55</v>
      </c>
      <c r="AV326" s="50">
        <f t="shared" si="23"/>
        <v>1</v>
      </c>
      <c r="AW326" s="51">
        <f t="shared" si="24"/>
        <v>0.001075943475</v>
      </c>
      <c r="AX326" s="52">
        <f t="shared" si="25"/>
        <v>0.0001613990405</v>
      </c>
      <c r="AY326" s="5"/>
      <c r="AZ326" s="53">
        <f t="shared" si="26"/>
        <v>1</v>
      </c>
      <c r="BA326" s="5"/>
      <c r="BB326" s="5"/>
      <c r="BC326" s="5"/>
    </row>
    <row r="327" ht="12.75" customHeight="1">
      <c r="A327" s="25"/>
      <c r="B327" s="27" t="s">
        <v>590</v>
      </c>
      <c r="C327" s="113">
        <v>28900.0</v>
      </c>
      <c r="D327" s="28">
        <v>27177.36</v>
      </c>
      <c r="E327" s="29" t="s">
        <v>49</v>
      </c>
      <c r="F327" s="30">
        <v>42672.0</v>
      </c>
      <c r="G327" s="30" t="s">
        <v>40</v>
      </c>
      <c r="H327" s="30">
        <v>42825.0</v>
      </c>
      <c r="I327" s="32">
        <f t="shared" si="1"/>
        <v>5.1</v>
      </c>
      <c r="J327" s="33" t="s">
        <v>129</v>
      </c>
      <c r="K327" s="34">
        <v>25000.0</v>
      </c>
      <c r="L327" s="115">
        <v>1764.74</v>
      </c>
      <c r="M327" s="35">
        <v>3283.29</v>
      </c>
      <c r="N327" s="35">
        <v>91.02</v>
      </c>
      <c r="O327" s="35">
        <f t="shared" si="65"/>
        <v>2177.36</v>
      </c>
      <c r="P327" s="35">
        <f t="shared" si="3"/>
        <v>7316.41</v>
      </c>
      <c r="Q327" s="36">
        <f t="shared" si="4"/>
        <v>0.2692097393</v>
      </c>
      <c r="R327" s="36">
        <f t="shared" si="5"/>
        <v>0.7307902607</v>
      </c>
      <c r="S327" s="37"/>
      <c r="T327" s="5"/>
      <c r="U327" s="54">
        <v>504.9</v>
      </c>
      <c r="V327" s="55">
        <v>6354.39</v>
      </c>
      <c r="W327" s="55">
        <f t="shared" si="62"/>
        <v>6859.29</v>
      </c>
      <c r="X327" s="56">
        <v>0.094</v>
      </c>
      <c r="Y327" s="55">
        <f t="shared" si="63"/>
        <v>1259.838168</v>
      </c>
      <c r="Z327" s="55">
        <f t="shared" si="43"/>
        <v>1259.838168</v>
      </c>
      <c r="AA327" s="57">
        <f t="shared" si="44"/>
        <v>1764.738168</v>
      </c>
      <c r="AB327" s="5"/>
      <c r="AC327" s="42">
        <f t="shared" si="6"/>
        <v>1</v>
      </c>
      <c r="AD327" s="3">
        <f t="shared" si="7"/>
        <v>1</v>
      </c>
      <c r="AE327" s="3">
        <f t="shared" si="8"/>
        <v>1</v>
      </c>
      <c r="AF327" s="43">
        <f t="shared" si="9"/>
        <v>3374.31</v>
      </c>
      <c r="AG327" s="44">
        <f t="shared" si="10"/>
        <v>27177.36</v>
      </c>
      <c r="AH327" s="45">
        <f t="shared" si="11"/>
        <v>5.1</v>
      </c>
      <c r="AI327" s="46">
        <f t="shared" si="12"/>
        <v>0.005881263696</v>
      </c>
      <c r="AJ327" s="47">
        <f t="shared" si="13"/>
        <v>0.001583293466</v>
      </c>
      <c r="AK327" s="5"/>
      <c r="AL327" s="42">
        <f t="shared" si="14"/>
        <v>0</v>
      </c>
      <c r="AM327" s="3">
        <f t="shared" si="15"/>
        <v>1</v>
      </c>
      <c r="AN327" s="3">
        <f t="shared" si="16"/>
        <v>0</v>
      </c>
      <c r="AO327" s="3">
        <f t="shared" si="17"/>
        <v>0</v>
      </c>
      <c r="AP327" s="44">
        <f t="shared" si="18"/>
        <v>0</v>
      </c>
      <c r="AQ327" s="48">
        <f t="shared" si="19"/>
        <v>0</v>
      </c>
      <c r="AR327" s="46">
        <f t="shared" si="20"/>
        <v>0</v>
      </c>
      <c r="AS327" s="47">
        <f t="shared" si="21"/>
        <v>0</v>
      </c>
      <c r="AT327" s="5"/>
      <c r="AU327" s="49">
        <f t="shared" si="27"/>
        <v>27177.36</v>
      </c>
      <c r="AV327" s="50">
        <f t="shared" si="23"/>
        <v>1</v>
      </c>
      <c r="AW327" s="51">
        <f t="shared" si="24"/>
        <v>0.00263683406</v>
      </c>
      <c r="AX327" s="52">
        <f t="shared" si="25"/>
        <v>0.0007098614099</v>
      </c>
      <c r="AY327" s="5"/>
      <c r="AZ327" s="53">
        <f t="shared" si="26"/>
        <v>1</v>
      </c>
      <c r="BA327" s="5"/>
      <c r="BB327" s="5"/>
      <c r="BC327" s="5"/>
    </row>
    <row r="328" ht="15.0" customHeight="1">
      <c r="A328" s="25"/>
      <c r="B328" s="27" t="s">
        <v>591</v>
      </c>
      <c r="C328" s="113">
        <v>16231.5</v>
      </c>
      <c r="D328" s="28">
        <v>15693.67</v>
      </c>
      <c r="E328" s="29" t="s">
        <v>49</v>
      </c>
      <c r="F328" s="30">
        <v>42672.0</v>
      </c>
      <c r="G328" s="30" t="s">
        <v>40</v>
      </c>
      <c r="H328" s="30">
        <v>42825.0</v>
      </c>
      <c r="I328" s="32">
        <f t="shared" si="1"/>
        <v>5.1</v>
      </c>
      <c r="J328" s="33" t="s">
        <v>129</v>
      </c>
      <c r="K328" s="34">
        <v>6000.0</v>
      </c>
      <c r="L328" s="65">
        <v>127.25</v>
      </c>
      <c r="M328" s="35">
        <v>2983.93</v>
      </c>
      <c r="N328" s="35">
        <v>0.0</v>
      </c>
      <c r="O328" s="35">
        <f t="shared" si="65"/>
        <v>9693.67</v>
      </c>
      <c r="P328" s="35">
        <f t="shared" si="3"/>
        <v>12804.85</v>
      </c>
      <c r="Q328" s="36">
        <f t="shared" si="4"/>
        <v>0.8159245097</v>
      </c>
      <c r="R328" s="36">
        <f t="shared" si="5"/>
        <v>0.1840754903</v>
      </c>
      <c r="S328" s="37"/>
      <c r="T328" s="5"/>
      <c r="U328" s="54">
        <v>0.0</v>
      </c>
      <c r="V328" s="55">
        <v>127.25</v>
      </c>
      <c r="W328" s="55">
        <f t="shared" si="62"/>
        <v>127.25</v>
      </c>
      <c r="X328" s="56">
        <v>0.0775</v>
      </c>
      <c r="Y328" s="55">
        <f t="shared" si="63"/>
        <v>599.7991685</v>
      </c>
      <c r="Z328" s="55">
        <f t="shared" si="43"/>
        <v>127.25</v>
      </c>
      <c r="AA328" s="57">
        <f t="shared" si="44"/>
        <v>127.25</v>
      </c>
      <c r="AB328" s="5"/>
      <c r="AC328" s="42">
        <f t="shared" si="6"/>
        <v>1</v>
      </c>
      <c r="AD328" s="3">
        <f t="shared" si="7"/>
        <v>1</v>
      </c>
      <c r="AE328" s="3">
        <f t="shared" si="8"/>
        <v>1</v>
      </c>
      <c r="AF328" s="43">
        <f t="shared" si="9"/>
        <v>2983.93</v>
      </c>
      <c r="AG328" s="44">
        <f t="shared" si="10"/>
        <v>15693.67</v>
      </c>
      <c r="AH328" s="45">
        <f t="shared" si="11"/>
        <v>5.1</v>
      </c>
      <c r="AI328" s="46">
        <f t="shared" si="12"/>
        <v>0.003396158112</v>
      </c>
      <c r="AJ328" s="47">
        <f t="shared" si="13"/>
        <v>0.002771008642</v>
      </c>
      <c r="AK328" s="5"/>
      <c r="AL328" s="42">
        <f t="shared" si="14"/>
        <v>0</v>
      </c>
      <c r="AM328" s="3">
        <f t="shared" si="15"/>
        <v>1</v>
      </c>
      <c r="AN328" s="3">
        <f t="shared" si="16"/>
        <v>0</v>
      </c>
      <c r="AO328" s="3">
        <f t="shared" si="17"/>
        <v>0</v>
      </c>
      <c r="AP328" s="44">
        <f t="shared" si="18"/>
        <v>0</v>
      </c>
      <c r="AQ328" s="48">
        <f t="shared" si="19"/>
        <v>0</v>
      </c>
      <c r="AR328" s="46">
        <f t="shared" si="20"/>
        <v>0</v>
      </c>
      <c r="AS328" s="47">
        <f t="shared" si="21"/>
        <v>0</v>
      </c>
      <c r="AT328" s="5"/>
      <c r="AU328" s="49">
        <f t="shared" si="27"/>
        <v>15693.67</v>
      </c>
      <c r="AV328" s="50">
        <f t="shared" si="23"/>
        <v>1</v>
      </c>
      <c r="AW328" s="51">
        <f t="shared" si="24"/>
        <v>0.001522649867</v>
      </c>
      <c r="AX328" s="52">
        <f t="shared" si="25"/>
        <v>0.001242367346</v>
      </c>
      <c r="AY328" s="5"/>
      <c r="AZ328" s="53">
        <f t="shared" si="26"/>
        <v>1</v>
      </c>
      <c r="BA328" s="5"/>
      <c r="BB328" s="5"/>
      <c r="BC328" s="5"/>
    </row>
    <row r="329" ht="12.75" customHeight="1">
      <c r="A329" s="25"/>
      <c r="B329" s="27" t="s">
        <v>404</v>
      </c>
      <c r="C329" s="27">
        <v>12610.0</v>
      </c>
      <c r="D329" s="28">
        <v>10913.0</v>
      </c>
      <c r="E329" s="29" t="s">
        <v>49</v>
      </c>
      <c r="F329" s="30">
        <v>42703.0</v>
      </c>
      <c r="G329" s="30" t="s">
        <v>40</v>
      </c>
      <c r="H329" s="30">
        <v>42733.0</v>
      </c>
      <c r="I329" s="32">
        <f t="shared" si="1"/>
        <v>1</v>
      </c>
      <c r="J329" s="33" t="s">
        <v>592</v>
      </c>
      <c r="K329" s="34">
        <v>10000.0</v>
      </c>
      <c r="L329" s="115">
        <v>477.71</v>
      </c>
      <c r="M329" s="35">
        <v>91.21</v>
      </c>
      <c r="N329" s="35">
        <v>0.0</v>
      </c>
      <c r="O329" s="35">
        <f t="shared" si="65"/>
        <v>913</v>
      </c>
      <c r="P329" s="35">
        <f t="shared" si="3"/>
        <v>1481.92</v>
      </c>
      <c r="Q329" s="36">
        <f t="shared" si="4"/>
        <v>0.1357940071</v>
      </c>
      <c r="R329" s="36">
        <f t="shared" si="5"/>
        <v>0.8642059929</v>
      </c>
      <c r="S329" s="37"/>
      <c r="T329" s="5"/>
      <c r="U329" s="54">
        <v>61.7</v>
      </c>
      <c r="V329" s="55">
        <v>533.0</v>
      </c>
      <c r="W329" s="55">
        <f t="shared" si="62"/>
        <v>594.7</v>
      </c>
      <c r="X329" s="56">
        <v>0.0773</v>
      </c>
      <c r="Y329" s="55">
        <f t="shared" si="63"/>
        <v>416.0095397</v>
      </c>
      <c r="Z329" s="55">
        <f t="shared" si="43"/>
        <v>416.0095397</v>
      </c>
      <c r="AA329" s="57">
        <f t="shared" si="44"/>
        <v>477.7095397</v>
      </c>
      <c r="AB329" s="5"/>
      <c r="AC329" s="42">
        <f t="shared" si="6"/>
        <v>1</v>
      </c>
      <c r="AD329" s="3">
        <f t="shared" si="7"/>
        <v>1</v>
      </c>
      <c r="AE329" s="3">
        <f t="shared" si="8"/>
        <v>1</v>
      </c>
      <c r="AF329" s="43">
        <f t="shared" si="9"/>
        <v>91.21</v>
      </c>
      <c r="AG329" s="44">
        <f t="shared" si="10"/>
        <v>10913</v>
      </c>
      <c r="AH329" s="45">
        <f t="shared" si="11"/>
        <v>1</v>
      </c>
      <c r="AI329" s="46">
        <f t="shared" si="12"/>
        <v>0.002361606525</v>
      </c>
      <c r="AJ329" s="47">
        <f t="shared" si="13"/>
        <v>0.0003206920133</v>
      </c>
      <c r="AK329" s="5"/>
      <c r="AL329" s="42">
        <f t="shared" si="14"/>
        <v>0</v>
      </c>
      <c r="AM329" s="3">
        <f t="shared" si="15"/>
        <v>1</v>
      </c>
      <c r="AN329" s="3">
        <f t="shared" si="16"/>
        <v>0</v>
      </c>
      <c r="AO329" s="3">
        <f t="shared" si="17"/>
        <v>0</v>
      </c>
      <c r="AP329" s="44">
        <f t="shared" si="18"/>
        <v>0</v>
      </c>
      <c r="AQ329" s="48">
        <f t="shared" si="19"/>
        <v>0</v>
      </c>
      <c r="AR329" s="46">
        <f t="shared" si="20"/>
        <v>0</v>
      </c>
      <c r="AS329" s="47">
        <f t="shared" si="21"/>
        <v>0</v>
      </c>
      <c r="AT329" s="5"/>
      <c r="AU329" s="49">
        <f t="shared" si="27"/>
        <v>10913</v>
      </c>
      <c r="AV329" s="50">
        <f t="shared" si="23"/>
        <v>1</v>
      </c>
      <c r="AW329" s="51">
        <f t="shared" si="24"/>
        <v>0.001058814031</v>
      </c>
      <c r="AX329" s="52">
        <f t="shared" si="25"/>
        <v>0.0001437806001</v>
      </c>
      <c r="AY329" s="5"/>
      <c r="AZ329" s="53">
        <f t="shared" si="26"/>
        <v>1</v>
      </c>
      <c r="BA329" s="5"/>
      <c r="BB329" s="5"/>
      <c r="BC329" s="5"/>
    </row>
    <row r="330" ht="12.75" customHeight="1">
      <c r="A330" s="25"/>
      <c r="B330" s="27" t="s">
        <v>593</v>
      </c>
      <c r="C330" s="113">
        <v>25246.47</v>
      </c>
      <c r="D330" s="28">
        <v>24750.76</v>
      </c>
      <c r="E330" s="29" t="s">
        <v>49</v>
      </c>
      <c r="F330" s="30">
        <v>42733.0</v>
      </c>
      <c r="G330" s="30" t="s">
        <v>40</v>
      </c>
      <c r="H330" s="30">
        <v>42764.0</v>
      </c>
      <c r="I330" s="32">
        <f t="shared" si="1"/>
        <v>1.033333333</v>
      </c>
      <c r="J330" s="33" t="s">
        <v>594</v>
      </c>
      <c r="K330" s="34">
        <v>25000.0</v>
      </c>
      <c r="L330" s="115">
        <v>1214.75</v>
      </c>
      <c r="M330" s="35">
        <v>4900.95</v>
      </c>
      <c r="N330" s="35">
        <v>336.58</v>
      </c>
      <c r="O330" s="35">
        <f t="shared" si="65"/>
        <v>0</v>
      </c>
      <c r="P330" s="35">
        <f t="shared" si="3"/>
        <v>6203.04</v>
      </c>
      <c r="Q330" s="36">
        <f t="shared" si="4"/>
        <v>0.250620183</v>
      </c>
      <c r="R330" s="36">
        <f t="shared" si="5"/>
        <v>0.749379817</v>
      </c>
      <c r="S330" s="37"/>
      <c r="T330" s="5"/>
      <c r="U330" s="54">
        <v>268.8</v>
      </c>
      <c r="V330" s="55">
        <v>1488.87</v>
      </c>
      <c r="W330" s="55">
        <f t="shared" si="62"/>
        <v>1757.67</v>
      </c>
      <c r="X330" s="56">
        <v>0.0775</v>
      </c>
      <c r="Y330" s="55">
        <f t="shared" si="63"/>
        <v>945.9537041</v>
      </c>
      <c r="Z330" s="55">
        <f t="shared" si="43"/>
        <v>945.9537041</v>
      </c>
      <c r="AA330" s="57">
        <f t="shared" si="44"/>
        <v>1214.753704</v>
      </c>
      <c r="AB330" s="5"/>
      <c r="AC330" s="42">
        <f t="shared" si="6"/>
        <v>1</v>
      </c>
      <c r="AD330" s="3">
        <f t="shared" si="7"/>
        <v>1</v>
      </c>
      <c r="AE330" s="3">
        <f t="shared" si="8"/>
        <v>1</v>
      </c>
      <c r="AF330" s="43">
        <f t="shared" si="9"/>
        <v>5237.53</v>
      </c>
      <c r="AG330" s="44">
        <f t="shared" si="10"/>
        <v>24750.76</v>
      </c>
      <c r="AH330" s="45">
        <f t="shared" si="11"/>
        <v>1.033333333</v>
      </c>
      <c r="AI330" s="46">
        <f t="shared" si="12"/>
        <v>0.005356140045</v>
      </c>
      <c r="AJ330" s="47">
        <f t="shared" si="13"/>
        <v>0.001342356798</v>
      </c>
      <c r="AK330" s="5"/>
      <c r="AL330" s="42">
        <f t="shared" si="14"/>
        <v>0</v>
      </c>
      <c r="AM330" s="3">
        <f t="shared" si="15"/>
        <v>1</v>
      </c>
      <c r="AN330" s="3">
        <f t="shared" si="16"/>
        <v>0</v>
      </c>
      <c r="AO330" s="3">
        <f t="shared" si="17"/>
        <v>0</v>
      </c>
      <c r="AP330" s="44">
        <f t="shared" si="18"/>
        <v>0</v>
      </c>
      <c r="AQ330" s="48">
        <f t="shared" si="19"/>
        <v>0</v>
      </c>
      <c r="AR330" s="46">
        <f t="shared" si="20"/>
        <v>0</v>
      </c>
      <c r="AS330" s="47">
        <f t="shared" si="21"/>
        <v>0</v>
      </c>
      <c r="AT330" s="5"/>
      <c r="AU330" s="49">
        <f t="shared" si="27"/>
        <v>24750.76</v>
      </c>
      <c r="AV330" s="50">
        <f t="shared" si="23"/>
        <v>1</v>
      </c>
      <c r="AW330" s="51">
        <f t="shared" si="24"/>
        <v>0.002401397596</v>
      </c>
      <c r="AX330" s="52">
        <f t="shared" si="25"/>
        <v>0.000601838705</v>
      </c>
      <c r="AY330" s="5"/>
      <c r="AZ330" s="53">
        <f t="shared" si="26"/>
        <v>1</v>
      </c>
      <c r="BA330" s="5"/>
      <c r="BB330" s="5"/>
      <c r="BC330" s="5"/>
    </row>
    <row r="331" ht="12.75" customHeight="1">
      <c r="A331" s="25"/>
      <c r="B331" s="27" t="s">
        <v>595</v>
      </c>
      <c r="C331" s="113">
        <v>23040.0</v>
      </c>
      <c r="D331" s="28">
        <v>22345.15</v>
      </c>
      <c r="E331" s="29" t="s">
        <v>39</v>
      </c>
      <c r="F331" s="30">
        <v>42733.0</v>
      </c>
      <c r="G331" s="30" t="s">
        <v>40</v>
      </c>
      <c r="H331" s="30">
        <v>43036.0</v>
      </c>
      <c r="I331" s="32">
        <f t="shared" si="1"/>
        <v>10.1</v>
      </c>
      <c r="J331" s="33" t="s">
        <v>596</v>
      </c>
      <c r="K331" s="34">
        <v>18000.0</v>
      </c>
      <c r="L331" s="115">
        <v>945.72</v>
      </c>
      <c r="M331" s="35">
        <v>495.0</v>
      </c>
      <c r="N331" s="35">
        <v>0.0</v>
      </c>
      <c r="O331" s="35">
        <f t="shared" si="65"/>
        <v>4345.15</v>
      </c>
      <c r="P331" s="35">
        <f t="shared" si="3"/>
        <v>5785.87</v>
      </c>
      <c r="Q331" s="36">
        <f t="shared" si="4"/>
        <v>0.258931804</v>
      </c>
      <c r="R331" s="36">
        <f t="shared" si="5"/>
        <v>0.741068196</v>
      </c>
      <c r="S331" s="37"/>
      <c r="T331" s="5"/>
      <c r="U331" s="54">
        <v>144.6</v>
      </c>
      <c r="V331" s="55">
        <v>1353.74</v>
      </c>
      <c r="W331" s="55">
        <f t="shared" si="62"/>
        <v>1498.34</v>
      </c>
      <c r="X331" s="56">
        <v>0.0727</v>
      </c>
      <c r="Y331" s="55">
        <f t="shared" si="63"/>
        <v>801.1195422</v>
      </c>
      <c r="Z331" s="55">
        <f t="shared" si="43"/>
        <v>801.1195422</v>
      </c>
      <c r="AA331" s="57">
        <f t="shared" si="44"/>
        <v>945.7195422</v>
      </c>
      <c r="AB331" s="5"/>
      <c r="AC331" s="42">
        <f t="shared" si="6"/>
        <v>0</v>
      </c>
      <c r="AD331" s="3">
        <f t="shared" si="7"/>
        <v>1</v>
      </c>
      <c r="AE331" s="3">
        <f t="shared" si="8"/>
        <v>0</v>
      </c>
      <c r="AF331" s="43">
        <f t="shared" si="9"/>
        <v>0</v>
      </c>
      <c r="AG331" s="44">
        <f t="shared" si="10"/>
        <v>0</v>
      </c>
      <c r="AH331" s="45">
        <f t="shared" si="11"/>
        <v>0</v>
      </c>
      <c r="AI331" s="46">
        <f t="shared" si="12"/>
        <v>0</v>
      </c>
      <c r="AJ331" s="47">
        <f t="shared" si="13"/>
        <v>0</v>
      </c>
      <c r="AK331" s="5"/>
      <c r="AL331" s="42">
        <f t="shared" si="14"/>
        <v>1</v>
      </c>
      <c r="AM331" s="3">
        <f t="shared" si="15"/>
        <v>1</v>
      </c>
      <c r="AN331" s="3">
        <f t="shared" si="16"/>
        <v>1</v>
      </c>
      <c r="AO331" s="3">
        <f t="shared" si="17"/>
        <v>495</v>
      </c>
      <c r="AP331" s="44">
        <f t="shared" si="18"/>
        <v>22345.15</v>
      </c>
      <c r="AQ331" s="48">
        <f t="shared" si="19"/>
        <v>10.1</v>
      </c>
      <c r="AR331" s="46">
        <f t="shared" si="20"/>
        <v>0.003919823911</v>
      </c>
      <c r="AS331" s="47">
        <f t="shared" si="21"/>
        <v>0.001014967077</v>
      </c>
      <c r="AT331" s="5"/>
      <c r="AU331" s="49">
        <f t="shared" si="27"/>
        <v>22345.15</v>
      </c>
      <c r="AV331" s="50">
        <f t="shared" si="23"/>
        <v>1</v>
      </c>
      <c r="AW331" s="51">
        <f t="shared" si="24"/>
        <v>0.002167997649</v>
      </c>
      <c r="AX331" s="52">
        <f t="shared" si="25"/>
        <v>0.0005613635424</v>
      </c>
      <c r="AY331" s="5"/>
      <c r="AZ331" s="53">
        <f t="shared" si="26"/>
        <v>1</v>
      </c>
      <c r="BA331" s="5"/>
      <c r="BB331" s="5"/>
      <c r="BC331" s="5"/>
    </row>
    <row r="332" ht="12.75" customHeight="1">
      <c r="A332" s="25"/>
      <c r="B332" s="27" t="s">
        <v>119</v>
      </c>
      <c r="C332" s="113">
        <v>12000.0</v>
      </c>
      <c r="D332" s="28">
        <v>11135.98</v>
      </c>
      <c r="E332" s="29" t="s">
        <v>49</v>
      </c>
      <c r="F332" s="30">
        <v>42764.0</v>
      </c>
      <c r="G332" s="30" t="s">
        <v>40</v>
      </c>
      <c r="H332" s="30">
        <v>43434.0</v>
      </c>
      <c r="I332" s="32">
        <f t="shared" si="1"/>
        <v>22.33333333</v>
      </c>
      <c r="J332" s="33" t="s">
        <v>129</v>
      </c>
      <c r="K332" s="34">
        <v>5000.0</v>
      </c>
      <c r="L332" s="115">
        <v>581.95</v>
      </c>
      <c r="M332" s="35">
        <v>0.0</v>
      </c>
      <c r="N332" s="35">
        <v>0.0</v>
      </c>
      <c r="O332" s="35">
        <f t="shared" si="65"/>
        <v>6135.98</v>
      </c>
      <c r="P332" s="35">
        <f t="shared" si="3"/>
        <v>6717.93</v>
      </c>
      <c r="Q332" s="36">
        <f t="shared" si="4"/>
        <v>0.6032634757</v>
      </c>
      <c r="R332" s="36">
        <f t="shared" si="5"/>
        <v>0.3967365243</v>
      </c>
      <c r="S332" s="37"/>
      <c r="T332" s="5"/>
      <c r="U332" s="54">
        <v>60.24</v>
      </c>
      <c r="V332" s="55">
        <v>845.12</v>
      </c>
      <c r="W332" s="55">
        <f t="shared" si="62"/>
        <v>905.36</v>
      </c>
      <c r="X332" s="56">
        <v>0.095</v>
      </c>
      <c r="Y332" s="55">
        <f t="shared" si="63"/>
        <v>521.7130356</v>
      </c>
      <c r="Z332" s="55">
        <f t="shared" si="43"/>
        <v>521.7130356</v>
      </c>
      <c r="AA332" s="57">
        <f t="shared" si="44"/>
        <v>581.9530356</v>
      </c>
      <c r="AB332" s="5"/>
      <c r="AC332" s="42">
        <f t="shared" si="6"/>
        <v>1</v>
      </c>
      <c r="AD332" s="3">
        <f t="shared" si="7"/>
        <v>1</v>
      </c>
      <c r="AE332" s="3">
        <f t="shared" si="8"/>
        <v>1</v>
      </c>
      <c r="AF332" s="43">
        <f t="shared" si="9"/>
        <v>0</v>
      </c>
      <c r="AG332" s="44">
        <f t="shared" si="10"/>
        <v>11135.98</v>
      </c>
      <c r="AH332" s="45">
        <f t="shared" si="11"/>
        <v>22.33333333</v>
      </c>
      <c r="AI332" s="46">
        <f t="shared" si="12"/>
        <v>0.002409860078</v>
      </c>
      <c r="AJ332" s="47">
        <f t="shared" si="13"/>
        <v>0.001453780567</v>
      </c>
      <c r="AK332" s="5"/>
      <c r="AL332" s="42">
        <f t="shared" si="14"/>
        <v>0</v>
      </c>
      <c r="AM332" s="3">
        <f t="shared" si="15"/>
        <v>1</v>
      </c>
      <c r="AN332" s="3">
        <f t="shared" si="16"/>
        <v>0</v>
      </c>
      <c r="AO332" s="3">
        <f t="shared" si="17"/>
        <v>0</v>
      </c>
      <c r="AP332" s="44">
        <f t="shared" si="18"/>
        <v>0</v>
      </c>
      <c r="AQ332" s="48">
        <f t="shared" si="19"/>
        <v>0</v>
      </c>
      <c r="AR332" s="46">
        <f t="shared" si="20"/>
        <v>0</v>
      </c>
      <c r="AS332" s="47">
        <f t="shared" si="21"/>
        <v>0</v>
      </c>
      <c r="AT332" s="5"/>
      <c r="AU332" s="49">
        <f t="shared" si="27"/>
        <v>11135.98</v>
      </c>
      <c r="AV332" s="50">
        <f t="shared" si="23"/>
        <v>1</v>
      </c>
      <c r="AW332" s="51">
        <f t="shared" si="24"/>
        <v>0.001080448261</v>
      </c>
      <c r="AX332" s="52">
        <f t="shared" si="25"/>
        <v>0.0006517949734</v>
      </c>
      <c r="AY332" s="5"/>
      <c r="AZ332" s="53">
        <f t="shared" si="26"/>
        <v>1</v>
      </c>
      <c r="BA332" s="5"/>
      <c r="BB332" s="5"/>
      <c r="BC332" s="5"/>
    </row>
    <row r="333" ht="12.75" customHeight="1">
      <c r="A333" s="25"/>
      <c r="B333" s="27" t="s">
        <v>597</v>
      </c>
      <c r="C333" s="113">
        <v>16299.36</v>
      </c>
      <c r="D333" s="28">
        <v>15283.1</v>
      </c>
      <c r="E333" s="29" t="s">
        <v>49</v>
      </c>
      <c r="F333" s="30">
        <v>42794.0</v>
      </c>
      <c r="G333" s="30" t="s">
        <v>40</v>
      </c>
      <c r="H333" s="30">
        <v>42855.0</v>
      </c>
      <c r="I333" s="32">
        <f t="shared" si="1"/>
        <v>2.033333333</v>
      </c>
      <c r="J333" s="33" t="s">
        <v>129</v>
      </c>
      <c r="K333" s="34">
        <v>15300.0</v>
      </c>
      <c r="L333" s="115">
        <v>1300.2</v>
      </c>
      <c r="M333" s="35">
        <v>3039.84</v>
      </c>
      <c r="N333" s="35">
        <v>41.07</v>
      </c>
      <c r="O333" s="35">
        <f t="shared" si="65"/>
        <v>0</v>
      </c>
      <c r="P333" s="35">
        <f t="shared" si="3"/>
        <v>4364.21</v>
      </c>
      <c r="Q333" s="36">
        <f t="shared" si="4"/>
        <v>0.2855579038</v>
      </c>
      <c r="R333" s="36">
        <f t="shared" si="5"/>
        <v>0.7144420962</v>
      </c>
      <c r="S333" s="37"/>
      <c r="T333" s="5"/>
      <c r="U333" s="54">
        <v>583.44</v>
      </c>
      <c r="V333" s="55">
        <v>1966.35</v>
      </c>
      <c r="W333" s="55">
        <f t="shared" si="62"/>
        <v>2549.79</v>
      </c>
      <c r="X333" s="56">
        <v>0.0951</v>
      </c>
      <c r="Y333" s="55">
        <f t="shared" si="63"/>
        <v>716.7564542</v>
      </c>
      <c r="Z333" s="55">
        <f t="shared" si="43"/>
        <v>716.7564542</v>
      </c>
      <c r="AA333" s="57">
        <f t="shared" si="44"/>
        <v>1300.196454</v>
      </c>
      <c r="AB333" s="5"/>
      <c r="AC333" s="42">
        <f t="shared" si="6"/>
        <v>1</v>
      </c>
      <c r="AD333" s="3">
        <f t="shared" si="7"/>
        <v>1</v>
      </c>
      <c r="AE333" s="3">
        <f t="shared" si="8"/>
        <v>1</v>
      </c>
      <c r="AF333" s="43">
        <f t="shared" si="9"/>
        <v>3080.91</v>
      </c>
      <c r="AG333" s="44">
        <f t="shared" si="10"/>
        <v>15283.1</v>
      </c>
      <c r="AH333" s="45">
        <f t="shared" si="11"/>
        <v>2.033333333</v>
      </c>
      <c r="AI333" s="46">
        <f t="shared" si="12"/>
        <v>0.00330730951</v>
      </c>
      <c r="AJ333" s="47">
        <f t="shared" si="13"/>
        <v>0.000944428371</v>
      </c>
      <c r="AK333" s="5"/>
      <c r="AL333" s="42">
        <f t="shared" si="14"/>
        <v>0</v>
      </c>
      <c r="AM333" s="3">
        <f t="shared" si="15"/>
        <v>1</v>
      </c>
      <c r="AN333" s="3">
        <f t="shared" si="16"/>
        <v>0</v>
      </c>
      <c r="AO333" s="3">
        <f t="shared" si="17"/>
        <v>0</v>
      </c>
      <c r="AP333" s="44">
        <f t="shared" si="18"/>
        <v>0</v>
      </c>
      <c r="AQ333" s="48">
        <f t="shared" si="19"/>
        <v>0</v>
      </c>
      <c r="AR333" s="46">
        <f t="shared" si="20"/>
        <v>0</v>
      </c>
      <c r="AS333" s="47">
        <f t="shared" si="21"/>
        <v>0</v>
      </c>
      <c r="AT333" s="5"/>
      <c r="AU333" s="49">
        <f t="shared" si="27"/>
        <v>15283.1</v>
      </c>
      <c r="AV333" s="50">
        <f t="shared" si="23"/>
        <v>1</v>
      </c>
      <c r="AW333" s="51">
        <f t="shared" si="24"/>
        <v>0.001482815057</v>
      </c>
      <c r="AX333" s="52">
        <f t="shared" si="25"/>
        <v>0.0004234295595</v>
      </c>
      <c r="AY333" s="5"/>
      <c r="AZ333" s="53">
        <f t="shared" si="26"/>
        <v>1</v>
      </c>
      <c r="BA333" s="5"/>
      <c r="BB333" s="5"/>
      <c r="BC333" s="5"/>
    </row>
    <row r="334" ht="12.75" customHeight="1">
      <c r="A334" s="25"/>
      <c r="B334" s="27" t="s">
        <v>598</v>
      </c>
      <c r="C334" s="113">
        <v>11907.0</v>
      </c>
      <c r="D334" s="28">
        <v>11120.78</v>
      </c>
      <c r="E334" s="29" t="s">
        <v>49</v>
      </c>
      <c r="F334" s="30">
        <v>42825.0</v>
      </c>
      <c r="G334" s="30" t="s">
        <v>40</v>
      </c>
      <c r="H334" s="30">
        <v>42885.0</v>
      </c>
      <c r="I334" s="32">
        <f t="shared" si="1"/>
        <v>2</v>
      </c>
      <c r="J334" s="33" t="s">
        <v>599</v>
      </c>
      <c r="K334" s="34">
        <v>12500.0</v>
      </c>
      <c r="L334" s="115">
        <v>575.88</v>
      </c>
      <c r="M334" s="35">
        <v>1915.2</v>
      </c>
      <c r="N334" s="35">
        <v>1341.9</v>
      </c>
      <c r="O334" s="35">
        <f t="shared" si="65"/>
        <v>0</v>
      </c>
      <c r="P334" s="35">
        <f t="shared" si="3"/>
        <v>2453.76</v>
      </c>
      <c r="Q334" s="36">
        <f t="shared" si="4"/>
        <v>0.2206463935</v>
      </c>
      <c r="R334" s="36">
        <f t="shared" si="5"/>
        <v>0.7793536065</v>
      </c>
      <c r="S334" s="37"/>
      <c r="T334" s="5"/>
      <c r="U334" s="54">
        <v>52.69</v>
      </c>
      <c r="V334" s="55">
        <v>1031.86</v>
      </c>
      <c r="W334" s="55">
        <f t="shared" si="62"/>
        <v>1084.55</v>
      </c>
      <c r="X334" s="56">
        <v>0.0954</v>
      </c>
      <c r="Y334" s="55">
        <f t="shared" si="63"/>
        <v>523.1946141</v>
      </c>
      <c r="Z334" s="55">
        <f t="shared" si="43"/>
        <v>523.1946141</v>
      </c>
      <c r="AA334" s="57">
        <f t="shared" si="44"/>
        <v>575.8846141</v>
      </c>
      <c r="AB334" s="5"/>
      <c r="AC334" s="42">
        <f t="shared" si="6"/>
        <v>1</v>
      </c>
      <c r="AD334" s="3">
        <f t="shared" si="7"/>
        <v>1</v>
      </c>
      <c r="AE334" s="3">
        <f t="shared" si="8"/>
        <v>1</v>
      </c>
      <c r="AF334" s="43">
        <f t="shared" si="9"/>
        <v>3257.1</v>
      </c>
      <c r="AG334" s="44">
        <f t="shared" si="10"/>
        <v>11120.78</v>
      </c>
      <c r="AH334" s="45">
        <f t="shared" si="11"/>
        <v>2</v>
      </c>
      <c r="AI334" s="46">
        <f t="shared" si="12"/>
        <v>0.002406570752</v>
      </c>
      <c r="AJ334" s="47">
        <f t="shared" si="13"/>
        <v>0.000531001157</v>
      </c>
      <c r="AK334" s="5"/>
      <c r="AL334" s="42">
        <f t="shared" si="14"/>
        <v>0</v>
      </c>
      <c r="AM334" s="3">
        <f t="shared" si="15"/>
        <v>1</v>
      </c>
      <c r="AN334" s="3">
        <f t="shared" si="16"/>
        <v>0</v>
      </c>
      <c r="AO334" s="3">
        <f t="shared" si="17"/>
        <v>0</v>
      </c>
      <c r="AP334" s="44">
        <f t="shared" si="18"/>
        <v>0</v>
      </c>
      <c r="AQ334" s="48">
        <f t="shared" si="19"/>
        <v>0</v>
      </c>
      <c r="AR334" s="46">
        <f t="shared" si="20"/>
        <v>0</v>
      </c>
      <c r="AS334" s="47">
        <f t="shared" si="21"/>
        <v>0</v>
      </c>
      <c r="AT334" s="5"/>
      <c r="AU334" s="49">
        <f t="shared" si="27"/>
        <v>11120.78</v>
      </c>
      <c r="AV334" s="50">
        <f t="shared" si="23"/>
        <v>1</v>
      </c>
      <c r="AW334" s="51">
        <f t="shared" si="24"/>
        <v>0.001078973509</v>
      </c>
      <c r="AX334" s="52">
        <f t="shared" si="25"/>
        <v>0.0002380716134</v>
      </c>
      <c r="AY334" s="5"/>
      <c r="AZ334" s="53">
        <f t="shared" si="26"/>
        <v>1</v>
      </c>
      <c r="BA334" s="5"/>
      <c r="BB334" s="5"/>
      <c r="BC334" s="5"/>
    </row>
    <row r="335" ht="11.25" customHeight="1">
      <c r="A335" s="25"/>
      <c r="B335" s="27" t="s">
        <v>600</v>
      </c>
      <c r="C335" s="113">
        <v>103652.0</v>
      </c>
      <c r="D335" s="28">
        <v>100269.73</v>
      </c>
      <c r="E335" s="29" t="s">
        <v>39</v>
      </c>
      <c r="F335" s="30">
        <v>42886.0</v>
      </c>
      <c r="G335" s="30" t="s">
        <v>40</v>
      </c>
      <c r="H335" s="30">
        <v>43069.0</v>
      </c>
      <c r="I335" s="32">
        <f t="shared" si="1"/>
        <v>6.1</v>
      </c>
      <c r="J335" s="33" t="s">
        <v>129</v>
      </c>
      <c r="K335" s="34">
        <v>85000.0</v>
      </c>
      <c r="L335" s="65">
        <v>2181.34</v>
      </c>
      <c r="M335" s="35">
        <v>4745.54</v>
      </c>
      <c r="N335" s="35">
        <v>874.87</v>
      </c>
      <c r="O335" s="35">
        <f t="shared" si="65"/>
        <v>15269.73</v>
      </c>
      <c r="P335" s="35">
        <f t="shared" si="3"/>
        <v>23071.48</v>
      </c>
      <c r="Q335" s="36">
        <f t="shared" si="4"/>
        <v>0.230094167</v>
      </c>
      <c r="R335" s="36">
        <f t="shared" si="5"/>
        <v>0.769905833</v>
      </c>
      <c r="S335" s="37"/>
      <c r="T335" s="5"/>
      <c r="U335" s="54">
        <v>196.38</v>
      </c>
      <c r="V335" s="55">
        <v>1788.58</v>
      </c>
      <c r="W335" s="55">
        <f t="shared" si="62"/>
        <v>1984.96</v>
      </c>
      <c r="X335" s="56">
        <v>0.0702</v>
      </c>
      <c r="Y335" s="55">
        <f t="shared" si="63"/>
        <v>3471.255639</v>
      </c>
      <c r="Z335" s="55">
        <f t="shared" si="43"/>
        <v>1984.96</v>
      </c>
      <c r="AA335" s="57">
        <f t="shared" si="44"/>
        <v>2181.34</v>
      </c>
      <c r="AB335" s="5"/>
      <c r="AC335" s="42">
        <f t="shared" si="6"/>
        <v>0</v>
      </c>
      <c r="AD335" s="3">
        <f t="shared" si="7"/>
        <v>1</v>
      </c>
      <c r="AE335" s="3">
        <f t="shared" si="8"/>
        <v>0</v>
      </c>
      <c r="AF335" s="43">
        <f t="shared" si="9"/>
        <v>0</v>
      </c>
      <c r="AG335" s="44">
        <f t="shared" si="10"/>
        <v>0</v>
      </c>
      <c r="AH335" s="45">
        <f t="shared" si="11"/>
        <v>0</v>
      </c>
      <c r="AI335" s="46">
        <f t="shared" si="12"/>
        <v>0</v>
      </c>
      <c r="AJ335" s="47">
        <f t="shared" si="13"/>
        <v>0</v>
      </c>
      <c r="AK335" s="5"/>
      <c r="AL335" s="42">
        <f t="shared" si="14"/>
        <v>1</v>
      </c>
      <c r="AM335" s="3">
        <f t="shared" si="15"/>
        <v>1</v>
      </c>
      <c r="AN335" s="3">
        <f t="shared" si="16"/>
        <v>1</v>
      </c>
      <c r="AO335" s="3">
        <f t="shared" si="17"/>
        <v>5620.41</v>
      </c>
      <c r="AP335" s="44">
        <f t="shared" si="18"/>
        <v>100269.73</v>
      </c>
      <c r="AQ335" s="48">
        <f t="shared" si="19"/>
        <v>6.1</v>
      </c>
      <c r="AR335" s="46">
        <f t="shared" si="20"/>
        <v>0.0175894852</v>
      </c>
      <c r="AS335" s="47">
        <f t="shared" si="21"/>
        <v>0.004047237945</v>
      </c>
      <c r="AT335" s="5"/>
      <c r="AU335" s="49">
        <f t="shared" si="27"/>
        <v>100269.73</v>
      </c>
      <c r="AV335" s="50">
        <f t="shared" si="23"/>
        <v>1</v>
      </c>
      <c r="AW335" s="51">
        <f t="shared" si="24"/>
        <v>0.009728488686</v>
      </c>
      <c r="AX335" s="52">
        <f t="shared" si="25"/>
        <v>0.0022384685</v>
      </c>
      <c r="AY335" s="5"/>
      <c r="AZ335" s="53">
        <f t="shared" si="26"/>
        <v>1</v>
      </c>
      <c r="BA335" s="5"/>
      <c r="BB335" s="5"/>
      <c r="BC335" s="5"/>
    </row>
    <row r="336" ht="12.75" customHeight="1">
      <c r="A336" s="25"/>
      <c r="B336" s="27" t="s">
        <v>601</v>
      </c>
      <c r="C336" s="113">
        <v>38133.94</v>
      </c>
      <c r="D336" s="28">
        <v>36687.99</v>
      </c>
      <c r="E336" s="29" t="s">
        <v>49</v>
      </c>
      <c r="F336" s="30">
        <v>42886.0</v>
      </c>
      <c r="G336" s="30" t="s">
        <v>40</v>
      </c>
      <c r="H336" s="30">
        <v>43281.0</v>
      </c>
      <c r="I336" s="32">
        <f t="shared" si="1"/>
        <v>13.16666667</v>
      </c>
      <c r="J336" s="33" t="s">
        <v>129</v>
      </c>
      <c r="K336" s="34">
        <v>32000.0</v>
      </c>
      <c r="L336" s="115">
        <v>1962.13</v>
      </c>
      <c r="M336" s="35">
        <v>5034.19</v>
      </c>
      <c r="N336" s="35">
        <v>261.47</v>
      </c>
      <c r="O336" s="35">
        <f t="shared" si="65"/>
        <v>4687.99</v>
      </c>
      <c r="P336" s="35">
        <f t="shared" si="3"/>
        <v>11945.78</v>
      </c>
      <c r="Q336" s="36">
        <f t="shared" si="4"/>
        <v>0.3256046461</v>
      </c>
      <c r="R336" s="36">
        <f t="shared" si="5"/>
        <v>0.6743953539</v>
      </c>
      <c r="S336" s="37"/>
      <c r="T336" s="5"/>
      <c r="U336" s="54">
        <v>455.01</v>
      </c>
      <c r="V336" s="55">
        <v>7283.75</v>
      </c>
      <c r="W336" s="55">
        <f t="shared" si="62"/>
        <v>7738.76</v>
      </c>
      <c r="X336" s="56">
        <v>0.0833</v>
      </c>
      <c r="Y336" s="55">
        <f t="shared" si="63"/>
        <v>1507.122526</v>
      </c>
      <c r="Z336" s="55">
        <f t="shared" si="43"/>
        <v>1507.122526</v>
      </c>
      <c r="AA336" s="57">
        <f t="shared" si="44"/>
        <v>1962.132526</v>
      </c>
      <c r="AB336" s="5"/>
      <c r="AC336" s="42">
        <f t="shared" si="6"/>
        <v>1</v>
      </c>
      <c r="AD336" s="3">
        <f t="shared" si="7"/>
        <v>1</v>
      </c>
      <c r="AE336" s="3">
        <f t="shared" si="8"/>
        <v>1</v>
      </c>
      <c r="AF336" s="43">
        <f t="shared" si="9"/>
        <v>5295.66</v>
      </c>
      <c r="AG336" s="44">
        <f t="shared" si="10"/>
        <v>36687.99</v>
      </c>
      <c r="AH336" s="45">
        <f t="shared" si="11"/>
        <v>13.16666667</v>
      </c>
      <c r="AI336" s="46">
        <f t="shared" si="12"/>
        <v>0.00793939307</v>
      </c>
      <c r="AJ336" s="47">
        <f t="shared" si="13"/>
        <v>0.002585103271</v>
      </c>
      <c r="AK336" s="5"/>
      <c r="AL336" s="42">
        <f t="shared" si="14"/>
        <v>0</v>
      </c>
      <c r="AM336" s="3">
        <f t="shared" si="15"/>
        <v>1</v>
      </c>
      <c r="AN336" s="3">
        <f t="shared" si="16"/>
        <v>0</v>
      </c>
      <c r="AO336" s="3">
        <f t="shared" si="17"/>
        <v>0</v>
      </c>
      <c r="AP336" s="44">
        <f t="shared" si="18"/>
        <v>0</v>
      </c>
      <c r="AQ336" s="48">
        <f t="shared" si="19"/>
        <v>0</v>
      </c>
      <c r="AR336" s="46">
        <f t="shared" si="20"/>
        <v>0</v>
      </c>
      <c r="AS336" s="47">
        <f t="shared" si="21"/>
        <v>0</v>
      </c>
      <c r="AT336" s="5"/>
      <c r="AU336" s="49">
        <f t="shared" si="27"/>
        <v>36687.99</v>
      </c>
      <c r="AV336" s="50">
        <f t="shared" si="23"/>
        <v>1</v>
      </c>
      <c r="AW336" s="51">
        <f t="shared" si="24"/>
        <v>0.003559585686</v>
      </c>
      <c r="AX336" s="52">
        <f t="shared" si="25"/>
        <v>0.001159017637</v>
      </c>
      <c r="AY336" s="5"/>
      <c r="AZ336" s="53">
        <f t="shared" si="26"/>
        <v>1</v>
      </c>
      <c r="BA336" s="5"/>
      <c r="BB336" s="5"/>
      <c r="BC336" s="5"/>
    </row>
    <row r="337" ht="12.75" customHeight="1">
      <c r="A337" s="25"/>
      <c r="B337" s="27" t="s">
        <v>602</v>
      </c>
      <c r="C337" s="113">
        <v>34000.0</v>
      </c>
      <c r="D337" s="28">
        <v>32800.64</v>
      </c>
      <c r="E337" s="29" t="s">
        <v>49</v>
      </c>
      <c r="F337" s="30">
        <v>42916.0</v>
      </c>
      <c r="G337" s="30" t="s">
        <v>40</v>
      </c>
      <c r="H337" s="30">
        <v>42946.0</v>
      </c>
      <c r="I337" s="32">
        <f t="shared" si="1"/>
        <v>1</v>
      </c>
      <c r="J337" s="33" t="s">
        <v>603</v>
      </c>
      <c r="K337" s="34">
        <v>40000.0</v>
      </c>
      <c r="L337" s="115">
        <v>2886.85</v>
      </c>
      <c r="M337" s="35">
        <v>3662.84</v>
      </c>
      <c r="N337" s="35">
        <v>162.32</v>
      </c>
      <c r="O337" s="35">
        <f t="shared" si="65"/>
        <v>0</v>
      </c>
      <c r="P337" s="35">
        <f t="shared" si="3"/>
        <v>0</v>
      </c>
      <c r="Q337" s="36">
        <f t="shared" si="4"/>
        <v>0</v>
      </c>
      <c r="R337" s="36">
        <f t="shared" si="5"/>
        <v>1</v>
      </c>
      <c r="S337" s="37"/>
      <c r="T337" s="5"/>
      <c r="U337" s="54">
        <v>1633.24</v>
      </c>
      <c r="V337" s="55">
        <v>3028.88</v>
      </c>
      <c r="W337" s="55">
        <f t="shared" si="62"/>
        <v>4662.12</v>
      </c>
      <c r="X337" s="56">
        <v>0.0775</v>
      </c>
      <c r="Y337" s="55">
        <f t="shared" si="63"/>
        <v>1253.613501</v>
      </c>
      <c r="Z337" s="55">
        <f t="shared" si="43"/>
        <v>1253.613501</v>
      </c>
      <c r="AA337" s="57">
        <f t="shared" si="44"/>
        <v>2886.853501</v>
      </c>
      <c r="AB337" s="5"/>
      <c r="AC337" s="42">
        <f t="shared" si="6"/>
        <v>1</v>
      </c>
      <c r="AD337" s="3">
        <f t="shared" si="7"/>
        <v>1</v>
      </c>
      <c r="AE337" s="3">
        <f t="shared" si="8"/>
        <v>1</v>
      </c>
      <c r="AF337" s="43">
        <f t="shared" si="9"/>
        <v>3825.16</v>
      </c>
      <c r="AG337" s="44">
        <f t="shared" si="10"/>
        <v>32800.64</v>
      </c>
      <c r="AH337" s="45">
        <f t="shared" si="11"/>
        <v>1</v>
      </c>
      <c r="AI337" s="46">
        <f t="shared" si="12"/>
        <v>0.007098158659</v>
      </c>
      <c r="AJ337" s="47">
        <f t="shared" si="13"/>
        <v>0</v>
      </c>
      <c r="AK337" s="5"/>
      <c r="AL337" s="42">
        <f t="shared" si="14"/>
        <v>0</v>
      </c>
      <c r="AM337" s="3">
        <f t="shared" si="15"/>
        <v>1</v>
      </c>
      <c r="AN337" s="3">
        <f t="shared" si="16"/>
        <v>0</v>
      </c>
      <c r="AO337" s="3">
        <f t="shared" si="17"/>
        <v>0</v>
      </c>
      <c r="AP337" s="44">
        <f t="shared" si="18"/>
        <v>0</v>
      </c>
      <c r="AQ337" s="48">
        <f t="shared" si="19"/>
        <v>0</v>
      </c>
      <c r="AR337" s="46">
        <f t="shared" si="20"/>
        <v>0</v>
      </c>
      <c r="AS337" s="47">
        <f t="shared" si="21"/>
        <v>0</v>
      </c>
      <c r="AT337" s="5"/>
      <c r="AU337" s="49">
        <f t="shared" si="27"/>
        <v>32800.64</v>
      </c>
      <c r="AV337" s="50">
        <f t="shared" si="23"/>
        <v>1</v>
      </c>
      <c r="AW337" s="51">
        <f t="shared" si="24"/>
        <v>0.003182422603</v>
      </c>
      <c r="AX337" s="52">
        <f t="shared" si="25"/>
        <v>0</v>
      </c>
      <c r="AY337" s="5"/>
      <c r="AZ337" s="53">
        <f t="shared" si="26"/>
        <v>1</v>
      </c>
      <c r="BA337" s="5"/>
      <c r="BB337" s="5"/>
      <c r="BC337" s="5"/>
    </row>
    <row r="338" ht="12.75" customHeight="1">
      <c r="A338" s="25"/>
      <c r="B338" s="27" t="s">
        <v>604</v>
      </c>
      <c r="C338" s="113">
        <v>15493.59</v>
      </c>
      <c r="D338" s="28">
        <v>14054.09</v>
      </c>
      <c r="E338" s="29" t="s">
        <v>39</v>
      </c>
      <c r="F338" s="30">
        <v>42947.0</v>
      </c>
      <c r="G338" s="30" t="s">
        <v>40</v>
      </c>
      <c r="H338" s="30">
        <v>42978.0</v>
      </c>
      <c r="I338" s="32">
        <f t="shared" si="1"/>
        <v>1.033333333</v>
      </c>
      <c r="J338" s="33" t="s">
        <v>605</v>
      </c>
      <c r="K338" s="34">
        <v>14000.0</v>
      </c>
      <c r="L338" s="115">
        <v>813.34</v>
      </c>
      <c r="M338" s="35">
        <v>1668.3</v>
      </c>
      <c r="N338" s="35">
        <v>30.68</v>
      </c>
      <c r="O338" s="35">
        <f t="shared" si="65"/>
        <v>54.09</v>
      </c>
      <c r="P338" s="35">
        <f t="shared" si="3"/>
        <v>2566.41</v>
      </c>
      <c r="Q338" s="36">
        <f t="shared" si="4"/>
        <v>0.1826094752</v>
      </c>
      <c r="R338" s="36">
        <f t="shared" si="5"/>
        <v>0.8173905248</v>
      </c>
      <c r="S338" s="37"/>
      <c r="T338" s="5"/>
      <c r="U338" s="54">
        <v>162.54</v>
      </c>
      <c r="V338" s="55">
        <v>1165.33</v>
      </c>
      <c r="W338" s="55">
        <f t="shared" si="62"/>
        <v>1327.87</v>
      </c>
      <c r="X338" s="56">
        <v>0.0939</v>
      </c>
      <c r="Y338" s="55">
        <f t="shared" si="63"/>
        <v>650.8006279</v>
      </c>
      <c r="Z338" s="55">
        <f t="shared" si="43"/>
        <v>650.8006279</v>
      </c>
      <c r="AA338" s="57">
        <f t="shared" si="44"/>
        <v>813.3406279</v>
      </c>
      <c r="AB338" s="5"/>
      <c r="AC338" s="42">
        <f t="shared" si="6"/>
        <v>0</v>
      </c>
      <c r="AD338" s="3">
        <f t="shared" si="7"/>
        <v>1</v>
      </c>
      <c r="AE338" s="3">
        <f t="shared" si="8"/>
        <v>0</v>
      </c>
      <c r="AF338" s="43">
        <f t="shared" si="9"/>
        <v>0</v>
      </c>
      <c r="AG338" s="44">
        <f t="shared" si="10"/>
        <v>0</v>
      </c>
      <c r="AH338" s="45">
        <f t="shared" si="11"/>
        <v>0</v>
      </c>
      <c r="AI338" s="46">
        <f t="shared" si="12"/>
        <v>0</v>
      </c>
      <c r="AJ338" s="47">
        <f t="shared" si="13"/>
        <v>0</v>
      </c>
      <c r="AK338" s="5"/>
      <c r="AL338" s="42">
        <f t="shared" si="14"/>
        <v>1</v>
      </c>
      <c r="AM338" s="3">
        <f t="shared" si="15"/>
        <v>1</v>
      </c>
      <c r="AN338" s="3">
        <f t="shared" si="16"/>
        <v>1</v>
      </c>
      <c r="AO338" s="3">
        <f t="shared" si="17"/>
        <v>1698.98</v>
      </c>
      <c r="AP338" s="44">
        <f t="shared" si="18"/>
        <v>14054.09</v>
      </c>
      <c r="AQ338" s="48">
        <f t="shared" si="19"/>
        <v>1.033333333</v>
      </c>
      <c r="AR338" s="46">
        <f t="shared" si="20"/>
        <v>0.002465392178</v>
      </c>
      <c r="AS338" s="47">
        <f t="shared" si="21"/>
        <v>0.0004502039719</v>
      </c>
      <c r="AT338" s="5"/>
      <c r="AU338" s="49">
        <f t="shared" si="27"/>
        <v>14054.09</v>
      </c>
      <c r="AV338" s="50">
        <f t="shared" si="23"/>
        <v>1</v>
      </c>
      <c r="AW338" s="51">
        <f t="shared" si="24"/>
        <v>0.001363572591</v>
      </c>
      <c r="AX338" s="52">
        <f t="shared" si="25"/>
        <v>0.0002490012753</v>
      </c>
      <c r="AY338" s="5"/>
      <c r="AZ338" s="53">
        <f t="shared" si="26"/>
        <v>1</v>
      </c>
      <c r="BA338" s="5"/>
      <c r="BB338" s="5"/>
      <c r="BC338" s="5"/>
    </row>
    <row r="339" ht="12.75" customHeight="1">
      <c r="A339" s="25"/>
      <c r="B339" s="27" t="s">
        <v>606</v>
      </c>
      <c r="C339" s="113">
        <v>33841.67</v>
      </c>
      <c r="D339" s="28">
        <v>27218.26</v>
      </c>
      <c r="E339" s="29" t="s">
        <v>49</v>
      </c>
      <c r="F339" s="30">
        <v>42947.0</v>
      </c>
      <c r="G339" s="30" t="s">
        <v>40</v>
      </c>
      <c r="H339" s="30">
        <v>42978.0</v>
      </c>
      <c r="I339" s="32">
        <f t="shared" si="1"/>
        <v>1.033333333</v>
      </c>
      <c r="J339" s="33" t="s">
        <v>129</v>
      </c>
      <c r="K339" s="34">
        <v>30000.0</v>
      </c>
      <c r="L339" s="115">
        <v>2914.68</v>
      </c>
      <c r="M339" s="35">
        <v>4504.13</v>
      </c>
      <c r="N339" s="35">
        <v>119.06</v>
      </c>
      <c r="O339" s="35">
        <f t="shared" si="65"/>
        <v>0</v>
      </c>
      <c r="P339" s="35">
        <f t="shared" si="3"/>
        <v>4756.13</v>
      </c>
      <c r="Q339" s="36">
        <f t="shared" si="4"/>
        <v>0.1747404132</v>
      </c>
      <c r="R339" s="36">
        <f t="shared" si="5"/>
        <v>0.8252595868</v>
      </c>
      <c r="S339" s="37"/>
      <c r="T339" s="5"/>
      <c r="U339" s="54">
        <v>1840.87</v>
      </c>
      <c r="V339" s="55">
        <v>8918.64</v>
      </c>
      <c r="W339" s="55">
        <f t="shared" si="62"/>
        <v>10759.51</v>
      </c>
      <c r="X339" s="56">
        <v>0.08</v>
      </c>
      <c r="Y339" s="55">
        <f t="shared" si="63"/>
        <v>1073.816285</v>
      </c>
      <c r="Z339" s="55">
        <f t="shared" si="43"/>
        <v>1073.816285</v>
      </c>
      <c r="AA339" s="57">
        <f t="shared" si="44"/>
        <v>2914.686285</v>
      </c>
      <c r="AB339" s="5"/>
      <c r="AC339" s="42">
        <f t="shared" si="6"/>
        <v>1</v>
      </c>
      <c r="AD339" s="3">
        <f t="shared" si="7"/>
        <v>1</v>
      </c>
      <c r="AE339" s="3">
        <f t="shared" si="8"/>
        <v>1</v>
      </c>
      <c r="AF339" s="43">
        <f t="shared" si="9"/>
        <v>4623.19</v>
      </c>
      <c r="AG339" s="44">
        <f t="shared" si="10"/>
        <v>27218.26</v>
      </c>
      <c r="AH339" s="45">
        <f t="shared" si="11"/>
        <v>1.033333333</v>
      </c>
      <c r="AI339" s="46">
        <f t="shared" si="12"/>
        <v>0.00589011458</v>
      </c>
      <c r="AJ339" s="47">
        <f t="shared" si="13"/>
        <v>0.001029241056</v>
      </c>
      <c r="AK339" s="5"/>
      <c r="AL339" s="42">
        <f t="shared" si="14"/>
        <v>0</v>
      </c>
      <c r="AM339" s="3">
        <f t="shared" si="15"/>
        <v>1</v>
      </c>
      <c r="AN339" s="3">
        <f t="shared" si="16"/>
        <v>0</v>
      </c>
      <c r="AO339" s="3">
        <f t="shared" si="17"/>
        <v>0</v>
      </c>
      <c r="AP339" s="44">
        <f t="shared" si="18"/>
        <v>0</v>
      </c>
      <c r="AQ339" s="48">
        <f t="shared" si="19"/>
        <v>0</v>
      </c>
      <c r="AR339" s="46">
        <f t="shared" si="20"/>
        <v>0</v>
      </c>
      <c r="AS339" s="47">
        <f t="shared" si="21"/>
        <v>0</v>
      </c>
      <c r="AT339" s="5"/>
      <c r="AU339" s="49">
        <f t="shared" si="27"/>
        <v>27218.26</v>
      </c>
      <c r="AV339" s="50">
        <f t="shared" si="23"/>
        <v>1</v>
      </c>
      <c r="AW339" s="51">
        <f t="shared" si="24"/>
        <v>0.002640802308</v>
      </c>
      <c r="AX339" s="52">
        <f t="shared" si="25"/>
        <v>0.0004614548867</v>
      </c>
      <c r="AY339" s="5"/>
      <c r="AZ339" s="53">
        <f t="shared" si="26"/>
        <v>1</v>
      </c>
      <c r="BA339" s="5"/>
      <c r="BB339" s="5"/>
      <c r="BC339" s="5"/>
    </row>
    <row r="340" ht="12.75" customHeight="1">
      <c r="A340" s="25"/>
      <c r="B340" s="27" t="s">
        <v>170</v>
      </c>
      <c r="C340" s="113">
        <v>19000.0</v>
      </c>
      <c r="D340" s="28">
        <v>30680.0</v>
      </c>
      <c r="E340" s="29" t="s">
        <v>39</v>
      </c>
      <c r="F340" s="30">
        <v>42947.0</v>
      </c>
      <c r="G340" s="30" t="s">
        <v>40</v>
      </c>
      <c r="H340" s="30">
        <v>43036.0</v>
      </c>
      <c r="I340" s="32">
        <f t="shared" si="1"/>
        <v>2.966666667</v>
      </c>
      <c r="J340" s="33" t="s">
        <v>129</v>
      </c>
      <c r="K340" s="34">
        <v>36500.0</v>
      </c>
      <c r="L340" s="115">
        <v>3573.33</v>
      </c>
      <c r="M340" s="35">
        <v>0.0</v>
      </c>
      <c r="N340" s="35">
        <v>81.4</v>
      </c>
      <c r="O340" s="35">
        <f t="shared" si="65"/>
        <v>0</v>
      </c>
      <c r="P340" s="35">
        <f t="shared" si="3"/>
        <v>0</v>
      </c>
      <c r="Q340" s="36">
        <f t="shared" si="4"/>
        <v>0</v>
      </c>
      <c r="R340" s="36">
        <f t="shared" si="5"/>
        <v>1</v>
      </c>
      <c r="S340" s="37"/>
      <c r="T340" s="5"/>
      <c r="U340" s="54">
        <v>2136.0</v>
      </c>
      <c r="V340" s="55">
        <v>41.36</v>
      </c>
      <c r="W340" s="55">
        <f t="shared" si="62"/>
        <v>2177.36</v>
      </c>
      <c r="X340" s="56">
        <v>0.095</v>
      </c>
      <c r="Y340" s="55">
        <f t="shared" si="63"/>
        <v>1437.336986</v>
      </c>
      <c r="Z340" s="55">
        <f t="shared" si="43"/>
        <v>1437.336986</v>
      </c>
      <c r="AA340" s="57">
        <f t="shared" si="44"/>
        <v>3573.336986</v>
      </c>
      <c r="AB340" s="5"/>
      <c r="AC340" s="42">
        <f t="shared" si="6"/>
        <v>0</v>
      </c>
      <c r="AD340" s="3">
        <f t="shared" si="7"/>
        <v>1</v>
      </c>
      <c r="AE340" s="3">
        <f t="shared" si="8"/>
        <v>0</v>
      </c>
      <c r="AF340" s="43">
        <f t="shared" si="9"/>
        <v>0</v>
      </c>
      <c r="AG340" s="44">
        <f t="shared" si="10"/>
        <v>0</v>
      </c>
      <c r="AH340" s="45">
        <f t="shared" si="11"/>
        <v>0</v>
      </c>
      <c r="AI340" s="46">
        <f t="shared" si="12"/>
        <v>0</v>
      </c>
      <c r="AJ340" s="47">
        <f t="shared" si="13"/>
        <v>0</v>
      </c>
      <c r="AK340" s="5"/>
      <c r="AL340" s="42">
        <f t="shared" si="14"/>
        <v>1</v>
      </c>
      <c r="AM340" s="3">
        <f t="shared" si="15"/>
        <v>1</v>
      </c>
      <c r="AN340" s="3">
        <f t="shared" si="16"/>
        <v>1</v>
      </c>
      <c r="AO340" s="3">
        <f t="shared" si="17"/>
        <v>81.4</v>
      </c>
      <c r="AP340" s="44">
        <f t="shared" si="18"/>
        <v>30680</v>
      </c>
      <c r="AQ340" s="48">
        <f t="shared" si="19"/>
        <v>2.966666667</v>
      </c>
      <c r="AR340" s="46">
        <f t="shared" si="20"/>
        <v>0.005381937359</v>
      </c>
      <c r="AS340" s="47">
        <f t="shared" si="21"/>
        <v>0</v>
      </c>
      <c r="AT340" s="5"/>
      <c r="AU340" s="49">
        <f t="shared" si="27"/>
        <v>30680</v>
      </c>
      <c r="AV340" s="50">
        <f t="shared" si="23"/>
        <v>1</v>
      </c>
      <c r="AW340" s="51">
        <f t="shared" si="24"/>
        <v>0.002976671353</v>
      </c>
      <c r="AX340" s="52">
        <f t="shared" si="25"/>
        <v>0</v>
      </c>
      <c r="AY340" s="5"/>
      <c r="AZ340" s="53">
        <f t="shared" si="26"/>
        <v>1</v>
      </c>
      <c r="BA340" s="5"/>
      <c r="BB340" s="5"/>
      <c r="BC340" s="5"/>
    </row>
    <row r="341" ht="12.75" customHeight="1">
      <c r="A341" s="25"/>
      <c r="B341" s="27" t="s">
        <v>607</v>
      </c>
      <c r="C341" s="113">
        <v>21866.0</v>
      </c>
      <c r="D341" s="28">
        <v>19973.16</v>
      </c>
      <c r="E341" s="29" t="s">
        <v>39</v>
      </c>
      <c r="F341" s="30">
        <v>42947.0</v>
      </c>
      <c r="G341" s="30" t="s">
        <v>40</v>
      </c>
      <c r="H341" s="30">
        <v>43100.0</v>
      </c>
      <c r="I341" s="32">
        <f t="shared" si="1"/>
        <v>5.1</v>
      </c>
      <c r="J341" s="33" t="s">
        <v>608</v>
      </c>
      <c r="K341" s="34">
        <v>25131.0</v>
      </c>
      <c r="L341" s="115">
        <v>982.22</v>
      </c>
      <c r="M341" s="35">
        <v>78.93</v>
      </c>
      <c r="N341" s="35">
        <v>99.6</v>
      </c>
      <c r="O341" s="35">
        <f t="shared" si="65"/>
        <v>0</v>
      </c>
      <c r="P341" s="35">
        <f t="shared" si="3"/>
        <v>0</v>
      </c>
      <c r="Q341" s="36">
        <f t="shared" si="4"/>
        <v>0</v>
      </c>
      <c r="R341" s="36">
        <f t="shared" si="5"/>
        <v>1</v>
      </c>
      <c r="S341" s="37"/>
      <c r="T341" s="5"/>
      <c r="U341" s="54">
        <v>99.68</v>
      </c>
      <c r="V341" s="55">
        <v>2975.23</v>
      </c>
      <c r="W341" s="55">
        <f t="shared" si="62"/>
        <v>3074.91</v>
      </c>
      <c r="X341" s="56">
        <v>0.0896</v>
      </c>
      <c r="Y341" s="55">
        <f t="shared" si="63"/>
        <v>882.5400671</v>
      </c>
      <c r="Z341" s="55">
        <f t="shared" si="43"/>
        <v>882.5400671</v>
      </c>
      <c r="AA341" s="57">
        <f t="shared" si="44"/>
        <v>982.2200671</v>
      </c>
      <c r="AB341" s="5"/>
      <c r="AC341" s="42">
        <f t="shared" si="6"/>
        <v>0</v>
      </c>
      <c r="AD341" s="3">
        <f t="shared" si="7"/>
        <v>1</v>
      </c>
      <c r="AE341" s="3">
        <f t="shared" si="8"/>
        <v>0</v>
      </c>
      <c r="AF341" s="43">
        <f t="shared" si="9"/>
        <v>0</v>
      </c>
      <c r="AG341" s="44">
        <f t="shared" si="10"/>
        <v>0</v>
      </c>
      <c r="AH341" s="45">
        <f t="shared" si="11"/>
        <v>0</v>
      </c>
      <c r="AI341" s="46">
        <f t="shared" si="12"/>
        <v>0</v>
      </c>
      <c r="AJ341" s="47">
        <f t="shared" si="13"/>
        <v>0</v>
      </c>
      <c r="AK341" s="5"/>
      <c r="AL341" s="42">
        <f t="shared" si="14"/>
        <v>1</v>
      </c>
      <c r="AM341" s="3">
        <f t="shared" si="15"/>
        <v>1</v>
      </c>
      <c r="AN341" s="3">
        <f t="shared" si="16"/>
        <v>1</v>
      </c>
      <c r="AO341" s="3">
        <f t="shared" si="17"/>
        <v>178.53</v>
      </c>
      <c r="AP341" s="44">
        <f t="shared" si="18"/>
        <v>19973.16</v>
      </c>
      <c r="AQ341" s="48">
        <f t="shared" si="19"/>
        <v>5.1</v>
      </c>
      <c r="AR341" s="46">
        <f t="shared" si="20"/>
        <v>0.003503725423</v>
      </c>
      <c r="AS341" s="47">
        <f t="shared" si="21"/>
        <v>0</v>
      </c>
      <c r="AT341" s="5"/>
      <c r="AU341" s="49">
        <f t="shared" si="27"/>
        <v>19973.16</v>
      </c>
      <c r="AV341" s="50">
        <f t="shared" si="23"/>
        <v>1</v>
      </c>
      <c r="AW341" s="51">
        <f t="shared" si="24"/>
        <v>0.001937859622</v>
      </c>
      <c r="AX341" s="52">
        <f t="shared" si="25"/>
        <v>0</v>
      </c>
      <c r="AY341" s="5"/>
      <c r="AZ341" s="53">
        <f t="shared" si="26"/>
        <v>1</v>
      </c>
      <c r="BA341" s="5"/>
      <c r="BB341" s="5"/>
      <c r="BC341" s="5"/>
    </row>
    <row r="342" ht="12.75" customHeight="1">
      <c r="A342" s="25"/>
      <c r="B342" s="27" t="s">
        <v>609</v>
      </c>
      <c r="C342" s="113">
        <v>15700.0</v>
      </c>
      <c r="D342" s="28">
        <v>15069.78</v>
      </c>
      <c r="E342" s="29" t="s">
        <v>49</v>
      </c>
      <c r="F342" s="30">
        <v>42978.0</v>
      </c>
      <c r="G342" s="30" t="s">
        <v>40</v>
      </c>
      <c r="H342" s="30">
        <v>43707.0</v>
      </c>
      <c r="I342" s="32">
        <f t="shared" si="1"/>
        <v>24.3</v>
      </c>
      <c r="J342" s="33" t="s">
        <v>129</v>
      </c>
      <c r="K342" s="34">
        <v>10000.0</v>
      </c>
      <c r="L342" s="115">
        <v>1150.39</v>
      </c>
      <c r="M342" s="35">
        <v>2899.59</v>
      </c>
      <c r="N342" s="35">
        <v>775.73</v>
      </c>
      <c r="O342" s="35">
        <f t="shared" si="65"/>
        <v>5069.78</v>
      </c>
      <c r="P342" s="35">
        <f t="shared" si="3"/>
        <v>9895.49</v>
      </c>
      <c r="Q342" s="36">
        <f t="shared" si="4"/>
        <v>0.6566446225</v>
      </c>
      <c r="R342" s="36">
        <f t="shared" si="5"/>
        <v>0.3433553775</v>
      </c>
      <c r="S342" s="37"/>
      <c r="T342" s="5"/>
      <c r="U342" s="54">
        <v>574.44</v>
      </c>
      <c r="V342" s="55">
        <v>2126.83</v>
      </c>
      <c r="W342" s="55">
        <f t="shared" si="62"/>
        <v>2701.27</v>
      </c>
      <c r="X342" s="56">
        <v>0.0775</v>
      </c>
      <c r="Y342" s="55">
        <f t="shared" si="63"/>
        <v>575.9546055</v>
      </c>
      <c r="Z342" s="55">
        <f t="shared" si="43"/>
        <v>575.9546055</v>
      </c>
      <c r="AA342" s="57">
        <f t="shared" si="44"/>
        <v>1150.394605</v>
      </c>
      <c r="AB342" s="5"/>
      <c r="AC342" s="42">
        <f t="shared" si="6"/>
        <v>1</v>
      </c>
      <c r="AD342" s="3">
        <f t="shared" si="7"/>
        <v>1</v>
      </c>
      <c r="AE342" s="3">
        <f t="shared" si="8"/>
        <v>1</v>
      </c>
      <c r="AF342" s="43">
        <f t="shared" si="9"/>
        <v>3675.32</v>
      </c>
      <c r="AG342" s="44">
        <f t="shared" si="10"/>
        <v>15069.78</v>
      </c>
      <c r="AH342" s="45">
        <f t="shared" si="11"/>
        <v>24.3</v>
      </c>
      <c r="AI342" s="46">
        <f t="shared" si="12"/>
        <v>0.003261146411</v>
      </c>
      <c r="AJ342" s="47">
        <f t="shared" si="13"/>
        <v>0.002141414254</v>
      </c>
      <c r="AK342" s="5"/>
      <c r="AL342" s="42">
        <f t="shared" si="14"/>
        <v>0</v>
      </c>
      <c r="AM342" s="3">
        <f t="shared" si="15"/>
        <v>1</v>
      </c>
      <c r="AN342" s="3">
        <f t="shared" si="16"/>
        <v>0</v>
      </c>
      <c r="AO342" s="3">
        <f t="shared" si="17"/>
        <v>0</v>
      </c>
      <c r="AP342" s="44">
        <f t="shared" si="18"/>
        <v>0</v>
      </c>
      <c r="AQ342" s="48">
        <f t="shared" si="19"/>
        <v>0</v>
      </c>
      <c r="AR342" s="46">
        <f t="shared" si="20"/>
        <v>0</v>
      </c>
      <c r="AS342" s="47">
        <f t="shared" si="21"/>
        <v>0</v>
      </c>
      <c r="AT342" s="5"/>
      <c r="AU342" s="49">
        <f t="shared" si="27"/>
        <v>15069.78</v>
      </c>
      <c r="AV342" s="50">
        <f t="shared" si="23"/>
        <v>1</v>
      </c>
      <c r="AW342" s="51">
        <f t="shared" si="24"/>
        <v>0.001462118071</v>
      </c>
      <c r="AX342" s="52">
        <f t="shared" si="25"/>
        <v>0.000960091969</v>
      </c>
      <c r="AY342" s="5"/>
      <c r="AZ342" s="53">
        <f t="shared" si="26"/>
        <v>1</v>
      </c>
      <c r="BA342" s="5"/>
      <c r="BB342" s="5"/>
      <c r="BC342" s="5"/>
    </row>
    <row r="343" ht="12.75" customHeight="1">
      <c r="A343" s="25"/>
      <c r="B343" s="27" t="s">
        <v>610</v>
      </c>
      <c r="C343" s="113">
        <v>51800.0</v>
      </c>
      <c r="D343" s="28">
        <v>50096.43</v>
      </c>
      <c r="E343" s="29" t="s">
        <v>39</v>
      </c>
      <c r="F343" s="30">
        <v>43008.0</v>
      </c>
      <c r="G343" s="30" t="s">
        <v>40</v>
      </c>
      <c r="H343" s="30">
        <v>43159.0</v>
      </c>
      <c r="I343" s="32">
        <f t="shared" si="1"/>
        <v>5.033333333</v>
      </c>
      <c r="J343" s="33" t="s">
        <v>129</v>
      </c>
      <c r="K343" s="34">
        <v>53000.0</v>
      </c>
      <c r="L343" s="115">
        <v>2084.54</v>
      </c>
      <c r="M343" s="35">
        <v>656.04</v>
      </c>
      <c r="N343" s="35">
        <v>336.4</v>
      </c>
      <c r="O343" s="35">
        <f t="shared" si="65"/>
        <v>0</v>
      </c>
      <c r="P343" s="35">
        <f t="shared" si="3"/>
        <v>173.41</v>
      </c>
      <c r="Q343" s="36">
        <f t="shared" si="4"/>
        <v>0.003461524105</v>
      </c>
      <c r="R343" s="36">
        <f t="shared" si="5"/>
        <v>0.9965384759</v>
      </c>
      <c r="S343" s="37"/>
      <c r="T343" s="5"/>
      <c r="U343" s="54">
        <v>379.89</v>
      </c>
      <c r="V343" s="55">
        <v>2751.76</v>
      </c>
      <c r="W343" s="55">
        <f t="shared" si="62"/>
        <v>3131.65</v>
      </c>
      <c r="X343" s="56">
        <v>0.069</v>
      </c>
      <c r="Y343" s="55">
        <f t="shared" si="63"/>
        <v>1704.651125</v>
      </c>
      <c r="Z343" s="55">
        <f t="shared" si="43"/>
        <v>1704.651125</v>
      </c>
      <c r="AA343" s="57">
        <f t="shared" si="44"/>
        <v>2084.541125</v>
      </c>
      <c r="AB343" s="5"/>
      <c r="AC343" s="42">
        <f t="shared" si="6"/>
        <v>0</v>
      </c>
      <c r="AD343" s="3">
        <f t="shared" si="7"/>
        <v>1</v>
      </c>
      <c r="AE343" s="3">
        <f t="shared" si="8"/>
        <v>0</v>
      </c>
      <c r="AF343" s="43">
        <f t="shared" si="9"/>
        <v>0</v>
      </c>
      <c r="AG343" s="44">
        <f t="shared" si="10"/>
        <v>0</v>
      </c>
      <c r="AH343" s="45">
        <f t="shared" si="11"/>
        <v>0</v>
      </c>
      <c r="AI343" s="46">
        <f t="shared" si="12"/>
        <v>0</v>
      </c>
      <c r="AJ343" s="47">
        <f t="shared" si="13"/>
        <v>0</v>
      </c>
      <c r="AK343" s="5"/>
      <c r="AL343" s="42">
        <f t="shared" si="14"/>
        <v>1</v>
      </c>
      <c r="AM343" s="3">
        <f t="shared" si="15"/>
        <v>1</v>
      </c>
      <c r="AN343" s="3">
        <f t="shared" si="16"/>
        <v>1</v>
      </c>
      <c r="AO343" s="3">
        <f t="shared" si="17"/>
        <v>992.44</v>
      </c>
      <c r="AP343" s="44">
        <f t="shared" si="18"/>
        <v>50096.43</v>
      </c>
      <c r="AQ343" s="48">
        <f t="shared" si="19"/>
        <v>5.033333333</v>
      </c>
      <c r="AR343" s="46">
        <f t="shared" si="20"/>
        <v>0.008788000267</v>
      </c>
      <c r="AS343" s="47">
        <f t="shared" si="21"/>
        <v>0.00003041987476</v>
      </c>
      <c r="AT343" s="5"/>
      <c r="AU343" s="49">
        <f t="shared" si="27"/>
        <v>50096.43</v>
      </c>
      <c r="AV343" s="50">
        <f t="shared" si="23"/>
        <v>1</v>
      </c>
      <c r="AW343" s="51">
        <f t="shared" si="24"/>
        <v>0.004860515257</v>
      </c>
      <c r="AX343" s="52">
        <f t="shared" si="25"/>
        <v>0.00001682479072</v>
      </c>
      <c r="AY343" s="5"/>
      <c r="AZ343" s="53">
        <f t="shared" si="26"/>
        <v>1</v>
      </c>
      <c r="BA343" s="5"/>
      <c r="BB343" s="5"/>
      <c r="BC343" s="5"/>
    </row>
    <row r="344" ht="12.75" customHeight="1">
      <c r="A344" s="25"/>
      <c r="B344" s="27" t="s">
        <v>611</v>
      </c>
      <c r="C344" s="113">
        <v>19584.0</v>
      </c>
      <c r="D344" s="28">
        <v>19159.33</v>
      </c>
      <c r="E344" s="29" t="s">
        <v>49</v>
      </c>
      <c r="F344" s="30">
        <v>43008.0</v>
      </c>
      <c r="G344" s="30" t="s">
        <v>40</v>
      </c>
      <c r="H344" s="30">
        <v>43248.0</v>
      </c>
      <c r="I344" s="32">
        <f t="shared" si="1"/>
        <v>8</v>
      </c>
      <c r="J344" s="33" t="s">
        <v>129</v>
      </c>
      <c r="K344" s="34">
        <v>18500.0</v>
      </c>
      <c r="L344" s="115">
        <v>1187.15</v>
      </c>
      <c r="M344" s="35">
        <v>2541.48</v>
      </c>
      <c r="N344" s="35">
        <v>0.0</v>
      </c>
      <c r="O344" s="35">
        <f t="shared" si="65"/>
        <v>659.33</v>
      </c>
      <c r="P344" s="35">
        <f t="shared" si="3"/>
        <v>4387.96</v>
      </c>
      <c r="Q344" s="36">
        <f t="shared" si="4"/>
        <v>0.2290247102</v>
      </c>
      <c r="R344" s="36">
        <f t="shared" si="5"/>
        <v>0.7709752898</v>
      </c>
      <c r="S344" s="37"/>
      <c r="T344" s="5"/>
      <c r="U344" s="54">
        <v>502.14</v>
      </c>
      <c r="V344" s="55">
        <v>494.08</v>
      </c>
      <c r="W344" s="55">
        <f t="shared" si="62"/>
        <v>996.22</v>
      </c>
      <c r="X344" s="56">
        <v>0.0725</v>
      </c>
      <c r="Y344" s="55">
        <f t="shared" si="63"/>
        <v>685.0116616</v>
      </c>
      <c r="Z344" s="55">
        <f t="shared" si="43"/>
        <v>685.0116616</v>
      </c>
      <c r="AA344" s="57">
        <f t="shared" si="44"/>
        <v>1187.151662</v>
      </c>
      <c r="AB344" s="5"/>
      <c r="AC344" s="42">
        <f t="shared" si="6"/>
        <v>1</v>
      </c>
      <c r="AD344" s="3">
        <f t="shared" si="7"/>
        <v>1</v>
      </c>
      <c r="AE344" s="3">
        <f t="shared" si="8"/>
        <v>1</v>
      </c>
      <c r="AF344" s="43">
        <f t="shared" si="9"/>
        <v>2541.48</v>
      </c>
      <c r="AG344" s="44">
        <f t="shared" si="10"/>
        <v>19159.33</v>
      </c>
      <c r="AH344" s="45">
        <f t="shared" si="11"/>
        <v>8</v>
      </c>
      <c r="AI344" s="46">
        <f t="shared" si="12"/>
        <v>0.004146137519</v>
      </c>
      <c r="AJ344" s="47">
        <f t="shared" si="13"/>
        <v>0.0009495679435</v>
      </c>
      <c r="AK344" s="5"/>
      <c r="AL344" s="42">
        <f t="shared" si="14"/>
        <v>0</v>
      </c>
      <c r="AM344" s="3">
        <f t="shared" si="15"/>
        <v>1</v>
      </c>
      <c r="AN344" s="3">
        <f t="shared" si="16"/>
        <v>0</v>
      </c>
      <c r="AO344" s="3">
        <f t="shared" si="17"/>
        <v>0</v>
      </c>
      <c r="AP344" s="44">
        <f t="shared" si="18"/>
        <v>0</v>
      </c>
      <c r="AQ344" s="48">
        <f t="shared" si="19"/>
        <v>0</v>
      </c>
      <c r="AR344" s="46">
        <f t="shared" si="20"/>
        <v>0</v>
      </c>
      <c r="AS344" s="47">
        <f t="shared" si="21"/>
        <v>0</v>
      </c>
      <c r="AT344" s="5"/>
      <c r="AU344" s="49">
        <f t="shared" si="27"/>
        <v>19159.33</v>
      </c>
      <c r="AV344" s="50">
        <f t="shared" si="23"/>
        <v>1</v>
      </c>
      <c r="AW344" s="51">
        <f t="shared" si="24"/>
        <v>0.001858899242</v>
      </c>
      <c r="AX344" s="52">
        <f t="shared" si="25"/>
        <v>0.0004257338602</v>
      </c>
      <c r="AY344" s="5"/>
      <c r="AZ344" s="53">
        <f t="shared" si="26"/>
        <v>1</v>
      </c>
      <c r="BA344" s="5"/>
      <c r="BB344" s="5"/>
      <c r="BC344" s="5"/>
    </row>
    <row r="345" ht="12.75" customHeight="1">
      <c r="A345" s="25"/>
      <c r="B345" s="27" t="s">
        <v>612</v>
      </c>
      <c r="C345" s="113">
        <v>21050.69</v>
      </c>
      <c r="D345" s="28">
        <v>17962.81</v>
      </c>
      <c r="E345" s="29" t="s">
        <v>49</v>
      </c>
      <c r="F345" s="30">
        <v>43008.0</v>
      </c>
      <c r="G345" s="30" t="s">
        <v>40</v>
      </c>
      <c r="H345" s="30">
        <v>43373.0</v>
      </c>
      <c r="I345" s="32">
        <f t="shared" si="1"/>
        <v>12.16666667</v>
      </c>
      <c r="J345" s="33" t="s">
        <v>613</v>
      </c>
      <c r="K345" s="34">
        <v>12000.0</v>
      </c>
      <c r="L345" s="115">
        <v>868.84</v>
      </c>
      <c r="M345" s="35">
        <v>2975.43</v>
      </c>
      <c r="N345" s="35">
        <v>92.26</v>
      </c>
      <c r="O345" s="35">
        <f t="shared" si="65"/>
        <v>5962.81</v>
      </c>
      <c r="P345" s="35">
        <f t="shared" si="3"/>
        <v>9899.34</v>
      </c>
      <c r="Q345" s="36">
        <f t="shared" si="4"/>
        <v>0.5511019712</v>
      </c>
      <c r="R345" s="36">
        <f t="shared" si="5"/>
        <v>0.4488980288</v>
      </c>
      <c r="S345" s="37"/>
      <c r="T345" s="5"/>
      <c r="U345" s="54">
        <v>60.96</v>
      </c>
      <c r="V345" s="55">
        <v>1917.67</v>
      </c>
      <c r="W345" s="55">
        <f t="shared" si="62"/>
        <v>1978.63</v>
      </c>
      <c r="X345" s="56">
        <v>0.0912</v>
      </c>
      <c r="Y345" s="55">
        <f t="shared" si="63"/>
        <v>807.8835314</v>
      </c>
      <c r="Z345" s="55">
        <f t="shared" si="43"/>
        <v>807.8835314</v>
      </c>
      <c r="AA345" s="57">
        <f t="shared" si="44"/>
        <v>868.8435314</v>
      </c>
      <c r="AB345" s="5"/>
      <c r="AC345" s="42">
        <f t="shared" si="6"/>
        <v>1</v>
      </c>
      <c r="AD345" s="3">
        <f t="shared" si="7"/>
        <v>1</v>
      </c>
      <c r="AE345" s="3">
        <f t="shared" si="8"/>
        <v>1</v>
      </c>
      <c r="AF345" s="43">
        <f t="shared" si="9"/>
        <v>3067.69</v>
      </c>
      <c r="AG345" s="44">
        <f t="shared" si="10"/>
        <v>17962.81</v>
      </c>
      <c r="AH345" s="45">
        <f t="shared" si="11"/>
        <v>12.16666667</v>
      </c>
      <c r="AI345" s="46">
        <f t="shared" si="12"/>
        <v>0.003887206937</v>
      </c>
      <c r="AJ345" s="47">
        <f t="shared" si="13"/>
        <v>0.002142247406</v>
      </c>
      <c r="AK345" s="5"/>
      <c r="AL345" s="42">
        <f t="shared" si="14"/>
        <v>0</v>
      </c>
      <c r="AM345" s="3">
        <f t="shared" si="15"/>
        <v>1</v>
      </c>
      <c r="AN345" s="3">
        <f t="shared" si="16"/>
        <v>0</v>
      </c>
      <c r="AO345" s="3">
        <f t="shared" si="17"/>
        <v>0</v>
      </c>
      <c r="AP345" s="44">
        <f t="shared" si="18"/>
        <v>0</v>
      </c>
      <c r="AQ345" s="48">
        <f t="shared" si="19"/>
        <v>0</v>
      </c>
      <c r="AR345" s="46">
        <f t="shared" si="20"/>
        <v>0</v>
      </c>
      <c r="AS345" s="47">
        <f t="shared" si="21"/>
        <v>0</v>
      </c>
      <c r="AT345" s="5"/>
      <c r="AU345" s="49">
        <f t="shared" si="27"/>
        <v>17962.81</v>
      </c>
      <c r="AV345" s="50">
        <f t="shared" si="23"/>
        <v>1</v>
      </c>
      <c r="AW345" s="51">
        <f t="shared" si="24"/>
        <v>0.00174280906</v>
      </c>
      <c r="AX345" s="52">
        <f t="shared" si="25"/>
        <v>0.0009604655082</v>
      </c>
      <c r="AY345" s="5"/>
      <c r="AZ345" s="53">
        <f t="shared" si="26"/>
        <v>1</v>
      </c>
      <c r="BA345" s="5"/>
      <c r="BB345" s="5"/>
      <c r="BC345" s="5"/>
    </row>
    <row r="346" ht="12.75" customHeight="1">
      <c r="A346" s="25"/>
      <c r="B346" s="27" t="s">
        <v>614</v>
      </c>
      <c r="C346" s="113">
        <v>16000.0</v>
      </c>
      <c r="D346" s="28">
        <v>13263.84</v>
      </c>
      <c r="E346" s="29" t="s">
        <v>49</v>
      </c>
      <c r="F346" s="30">
        <v>43039.0</v>
      </c>
      <c r="G346" s="30" t="s">
        <v>40</v>
      </c>
      <c r="H346" s="30">
        <v>43100.0</v>
      </c>
      <c r="I346" s="32">
        <f t="shared" si="1"/>
        <v>2.033333333</v>
      </c>
      <c r="J346" s="33" t="s">
        <v>615</v>
      </c>
      <c r="K346" s="34">
        <v>13900.0</v>
      </c>
      <c r="L346" s="115">
        <v>811.3</v>
      </c>
      <c r="M346" s="35">
        <v>1625.61</v>
      </c>
      <c r="N346" s="35">
        <v>240.13</v>
      </c>
      <c r="O346" s="35">
        <f t="shared" si="65"/>
        <v>0</v>
      </c>
      <c r="P346" s="35">
        <f t="shared" si="3"/>
        <v>2040.88</v>
      </c>
      <c r="Q346" s="36">
        <f t="shared" si="4"/>
        <v>0.1538679598</v>
      </c>
      <c r="R346" s="36">
        <f t="shared" si="5"/>
        <v>0.8461320402</v>
      </c>
      <c r="S346" s="37"/>
      <c r="T346" s="5"/>
      <c r="U346" s="54">
        <v>199.71</v>
      </c>
      <c r="V346" s="55">
        <v>2737.04</v>
      </c>
      <c r="W346" s="55">
        <f t="shared" si="62"/>
        <v>2936.75</v>
      </c>
      <c r="X346" s="56">
        <v>0.0935</v>
      </c>
      <c r="Y346" s="55">
        <f t="shared" si="63"/>
        <v>611.5902115</v>
      </c>
      <c r="Z346" s="55">
        <f t="shared" si="43"/>
        <v>611.5902115</v>
      </c>
      <c r="AA346" s="57">
        <f t="shared" si="44"/>
        <v>811.3002115</v>
      </c>
      <c r="AB346" s="5"/>
      <c r="AC346" s="42">
        <f t="shared" si="6"/>
        <v>1</v>
      </c>
      <c r="AD346" s="3">
        <f t="shared" si="7"/>
        <v>1</v>
      </c>
      <c r="AE346" s="3">
        <f t="shared" si="8"/>
        <v>1</v>
      </c>
      <c r="AF346" s="43">
        <f t="shared" si="9"/>
        <v>1865.74</v>
      </c>
      <c r="AG346" s="44">
        <f t="shared" si="10"/>
        <v>13263.84</v>
      </c>
      <c r="AH346" s="45">
        <f t="shared" si="11"/>
        <v>2.033333333</v>
      </c>
      <c r="AI346" s="46">
        <f t="shared" si="12"/>
        <v>0.00287033548</v>
      </c>
      <c r="AJ346" s="47">
        <f t="shared" si="13"/>
        <v>0.0004416526642</v>
      </c>
      <c r="AK346" s="5"/>
      <c r="AL346" s="42">
        <f t="shared" si="14"/>
        <v>0</v>
      </c>
      <c r="AM346" s="3">
        <f t="shared" si="15"/>
        <v>1</v>
      </c>
      <c r="AN346" s="3">
        <f t="shared" si="16"/>
        <v>0</v>
      </c>
      <c r="AO346" s="3">
        <f t="shared" si="17"/>
        <v>0</v>
      </c>
      <c r="AP346" s="44">
        <f t="shared" si="18"/>
        <v>0</v>
      </c>
      <c r="AQ346" s="48">
        <f t="shared" si="19"/>
        <v>0</v>
      </c>
      <c r="AR346" s="46">
        <f t="shared" si="20"/>
        <v>0</v>
      </c>
      <c r="AS346" s="47">
        <f t="shared" si="21"/>
        <v>0</v>
      </c>
      <c r="AT346" s="5"/>
      <c r="AU346" s="49">
        <f t="shared" si="27"/>
        <v>13263.84</v>
      </c>
      <c r="AV346" s="50">
        <f t="shared" si="23"/>
        <v>1</v>
      </c>
      <c r="AW346" s="51">
        <f t="shared" si="24"/>
        <v>0.001286900018</v>
      </c>
      <c r="AX346" s="52">
        <f t="shared" si="25"/>
        <v>0.0001980126803</v>
      </c>
      <c r="AY346" s="5"/>
      <c r="AZ346" s="53">
        <f t="shared" si="26"/>
        <v>1</v>
      </c>
      <c r="BA346" s="5"/>
      <c r="BB346" s="5"/>
      <c r="BC346" s="5"/>
    </row>
    <row r="347" ht="12.75" customHeight="1">
      <c r="A347" s="25"/>
      <c r="B347" s="27" t="s">
        <v>616</v>
      </c>
      <c r="C347" s="113">
        <v>20120.4</v>
      </c>
      <c r="D347" s="28">
        <v>18538.23</v>
      </c>
      <c r="E347" s="29" t="s">
        <v>49</v>
      </c>
      <c r="F347" s="30">
        <v>43039.0</v>
      </c>
      <c r="G347" s="30" t="s">
        <v>40</v>
      </c>
      <c r="H347" s="30">
        <v>43100.0</v>
      </c>
      <c r="I347" s="32">
        <f t="shared" si="1"/>
        <v>2.033333333</v>
      </c>
      <c r="J347" s="33" t="s">
        <v>129</v>
      </c>
      <c r="K347" s="34">
        <v>21643.0</v>
      </c>
      <c r="L347" s="115">
        <v>1593.47</v>
      </c>
      <c r="M347" s="35">
        <v>2146.88</v>
      </c>
      <c r="N347" s="35">
        <v>538.06</v>
      </c>
      <c r="O347" s="35">
        <f t="shared" si="65"/>
        <v>0</v>
      </c>
      <c r="P347" s="35">
        <f t="shared" si="3"/>
        <v>1173.64</v>
      </c>
      <c r="Q347" s="36">
        <f t="shared" si="4"/>
        <v>0.06330917245</v>
      </c>
      <c r="R347" s="36">
        <f t="shared" si="5"/>
        <v>0.9366908275</v>
      </c>
      <c r="S347" s="37"/>
      <c r="T347" s="5"/>
      <c r="U347" s="54">
        <v>760.62</v>
      </c>
      <c r="V347" s="55">
        <v>1766.22</v>
      </c>
      <c r="W347" s="55">
        <f t="shared" si="62"/>
        <v>2526.84</v>
      </c>
      <c r="X347" s="56">
        <v>0.0911</v>
      </c>
      <c r="Y347" s="55">
        <f t="shared" si="63"/>
        <v>832.8490289</v>
      </c>
      <c r="Z347" s="55">
        <f t="shared" si="43"/>
        <v>832.8490289</v>
      </c>
      <c r="AA347" s="57">
        <f t="shared" si="44"/>
        <v>1593.469029</v>
      </c>
      <c r="AB347" s="5"/>
      <c r="AC347" s="42">
        <f t="shared" si="6"/>
        <v>1</v>
      </c>
      <c r="AD347" s="3">
        <f t="shared" si="7"/>
        <v>1</v>
      </c>
      <c r="AE347" s="3">
        <f t="shared" si="8"/>
        <v>1</v>
      </c>
      <c r="AF347" s="43">
        <f t="shared" si="9"/>
        <v>2684.94</v>
      </c>
      <c r="AG347" s="44">
        <f t="shared" si="10"/>
        <v>18538.23</v>
      </c>
      <c r="AH347" s="45">
        <f t="shared" si="11"/>
        <v>2.033333333</v>
      </c>
      <c r="AI347" s="46">
        <f t="shared" si="12"/>
        <v>0.004011729582</v>
      </c>
      <c r="AJ347" s="47">
        <f t="shared" si="13"/>
        <v>0.0002539792799</v>
      </c>
      <c r="AK347" s="5"/>
      <c r="AL347" s="42">
        <f t="shared" si="14"/>
        <v>0</v>
      </c>
      <c r="AM347" s="3">
        <f t="shared" si="15"/>
        <v>1</v>
      </c>
      <c r="AN347" s="3">
        <f t="shared" si="16"/>
        <v>0</v>
      </c>
      <c r="AO347" s="3">
        <f t="shared" si="17"/>
        <v>0</v>
      </c>
      <c r="AP347" s="44">
        <f t="shared" si="18"/>
        <v>0</v>
      </c>
      <c r="AQ347" s="48">
        <f t="shared" si="19"/>
        <v>0</v>
      </c>
      <c r="AR347" s="46">
        <f t="shared" si="20"/>
        <v>0</v>
      </c>
      <c r="AS347" s="47">
        <f t="shared" si="21"/>
        <v>0</v>
      </c>
      <c r="AT347" s="5"/>
      <c r="AU347" s="49">
        <f t="shared" si="27"/>
        <v>18538.23</v>
      </c>
      <c r="AV347" s="50">
        <f t="shared" si="23"/>
        <v>1</v>
      </c>
      <c r="AW347" s="51">
        <f t="shared" si="24"/>
        <v>0.001798638141</v>
      </c>
      <c r="AX347" s="52">
        <f t="shared" si="25"/>
        <v>0.0001138702923</v>
      </c>
      <c r="AY347" s="5"/>
      <c r="AZ347" s="53">
        <f t="shared" si="26"/>
        <v>1</v>
      </c>
      <c r="BA347" s="5"/>
      <c r="BB347" s="5"/>
      <c r="BC347" s="5"/>
    </row>
    <row r="348" ht="12.75" customHeight="1">
      <c r="A348" s="25"/>
      <c r="B348" s="27" t="s">
        <v>617</v>
      </c>
      <c r="C348" s="113">
        <v>18900.0</v>
      </c>
      <c r="D348" s="28">
        <v>17789.9</v>
      </c>
      <c r="E348" s="29" t="s">
        <v>49</v>
      </c>
      <c r="F348" s="30">
        <v>43039.0</v>
      </c>
      <c r="G348" s="30" t="s">
        <v>40</v>
      </c>
      <c r="H348" s="30">
        <v>43187.0</v>
      </c>
      <c r="I348" s="32">
        <f t="shared" si="1"/>
        <v>4.933333333</v>
      </c>
      <c r="J348" s="33" t="s">
        <v>129</v>
      </c>
      <c r="K348" s="34">
        <v>18000.0</v>
      </c>
      <c r="L348" s="115">
        <v>1321.48</v>
      </c>
      <c r="M348" s="35">
        <v>2638.95</v>
      </c>
      <c r="N348" s="35">
        <v>599.95</v>
      </c>
      <c r="O348" s="35">
        <f t="shared" si="65"/>
        <v>0</v>
      </c>
      <c r="P348" s="35">
        <f t="shared" si="3"/>
        <v>4350.28</v>
      </c>
      <c r="Q348" s="36">
        <f t="shared" si="4"/>
        <v>0.2445365067</v>
      </c>
      <c r="R348" s="36">
        <f t="shared" si="5"/>
        <v>0.7554634933</v>
      </c>
      <c r="S348" s="37"/>
      <c r="T348" s="5"/>
      <c r="U348" s="54">
        <v>498.56</v>
      </c>
      <c r="V348" s="55">
        <v>5937.99</v>
      </c>
      <c r="W348" s="55">
        <f t="shared" si="62"/>
        <v>6436.55</v>
      </c>
      <c r="X348" s="56">
        <v>0.0938</v>
      </c>
      <c r="Y348" s="55">
        <f t="shared" si="63"/>
        <v>822.9169085</v>
      </c>
      <c r="Z348" s="55">
        <f t="shared" si="43"/>
        <v>822.9169085</v>
      </c>
      <c r="AA348" s="57">
        <f t="shared" si="44"/>
        <v>1321.476908</v>
      </c>
      <c r="AB348" s="5"/>
      <c r="AC348" s="42">
        <f t="shared" si="6"/>
        <v>1</v>
      </c>
      <c r="AD348" s="3">
        <f t="shared" si="7"/>
        <v>1</v>
      </c>
      <c r="AE348" s="3">
        <f t="shared" si="8"/>
        <v>1</v>
      </c>
      <c r="AF348" s="43">
        <f t="shared" si="9"/>
        <v>3238.9</v>
      </c>
      <c r="AG348" s="44">
        <f t="shared" si="10"/>
        <v>17789.9</v>
      </c>
      <c r="AH348" s="45">
        <f t="shared" si="11"/>
        <v>4.933333333</v>
      </c>
      <c r="AI348" s="46">
        <f t="shared" si="12"/>
        <v>0.003849788685</v>
      </c>
      <c r="AJ348" s="47">
        <f t="shared" si="13"/>
        <v>0.0009414138764</v>
      </c>
      <c r="AK348" s="5"/>
      <c r="AL348" s="42">
        <f t="shared" si="14"/>
        <v>0</v>
      </c>
      <c r="AM348" s="3">
        <f t="shared" si="15"/>
        <v>1</v>
      </c>
      <c r="AN348" s="3">
        <f t="shared" si="16"/>
        <v>0</v>
      </c>
      <c r="AO348" s="3">
        <f t="shared" si="17"/>
        <v>0</v>
      </c>
      <c r="AP348" s="44">
        <f t="shared" si="18"/>
        <v>0</v>
      </c>
      <c r="AQ348" s="48">
        <f t="shared" si="19"/>
        <v>0</v>
      </c>
      <c r="AR348" s="46">
        <f t="shared" si="20"/>
        <v>0</v>
      </c>
      <c r="AS348" s="47">
        <f t="shared" si="21"/>
        <v>0</v>
      </c>
      <c r="AT348" s="5"/>
      <c r="AU348" s="49">
        <f t="shared" si="27"/>
        <v>17789.9</v>
      </c>
      <c r="AV348" s="50">
        <f t="shared" si="23"/>
        <v>1</v>
      </c>
      <c r="AW348" s="51">
        <f t="shared" si="24"/>
        <v>0.00172603278</v>
      </c>
      <c r="AX348" s="52">
        <f t="shared" si="25"/>
        <v>0.0004220780265</v>
      </c>
      <c r="AY348" s="5"/>
      <c r="AZ348" s="53">
        <f t="shared" si="26"/>
        <v>1</v>
      </c>
      <c r="BA348" s="5"/>
      <c r="BB348" s="5"/>
      <c r="BC348" s="5"/>
    </row>
    <row r="349" ht="12.75" customHeight="1">
      <c r="A349" s="25"/>
      <c r="B349" s="27" t="s">
        <v>618</v>
      </c>
      <c r="C349" s="113">
        <v>13322.78</v>
      </c>
      <c r="D349" s="28">
        <v>12243.3</v>
      </c>
      <c r="E349" s="29" t="s">
        <v>39</v>
      </c>
      <c r="F349" s="30">
        <v>43100.0</v>
      </c>
      <c r="G349" s="30" t="s">
        <v>40</v>
      </c>
      <c r="H349" s="30">
        <v>43248.0</v>
      </c>
      <c r="I349" s="32">
        <f t="shared" si="1"/>
        <v>4.933333333</v>
      </c>
      <c r="J349" s="33" t="s">
        <v>619</v>
      </c>
      <c r="K349" s="34">
        <v>12500.0</v>
      </c>
      <c r="L349" s="115">
        <v>1055.64</v>
      </c>
      <c r="M349" s="35">
        <v>1743.74</v>
      </c>
      <c r="N349" s="35">
        <v>0.0</v>
      </c>
      <c r="O349" s="35">
        <f t="shared" si="65"/>
        <v>0</v>
      </c>
      <c r="P349" s="35">
        <f t="shared" si="3"/>
        <v>2542.68</v>
      </c>
      <c r="Q349" s="36">
        <f t="shared" si="4"/>
        <v>0.2076793021</v>
      </c>
      <c r="R349" s="36">
        <f t="shared" si="5"/>
        <v>0.7923206979</v>
      </c>
      <c r="S349" s="37"/>
      <c r="T349" s="5"/>
      <c r="U349" s="54">
        <v>468.16</v>
      </c>
      <c r="V349" s="55">
        <v>3574.39</v>
      </c>
      <c r="W349" s="55">
        <f t="shared" si="62"/>
        <v>4042.55</v>
      </c>
      <c r="X349" s="56">
        <v>0.0973</v>
      </c>
      <c r="Y349" s="55">
        <f t="shared" si="63"/>
        <v>587.4771403</v>
      </c>
      <c r="Z349" s="55">
        <f t="shared" si="43"/>
        <v>587.4771403</v>
      </c>
      <c r="AA349" s="57">
        <f t="shared" si="44"/>
        <v>1055.63714</v>
      </c>
      <c r="AB349" s="5"/>
      <c r="AC349" s="42">
        <f t="shared" si="6"/>
        <v>0</v>
      </c>
      <c r="AD349" s="3">
        <f t="shared" si="7"/>
        <v>1</v>
      </c>
      <c r="AE349" s="3">
        <f t="shared" si="8"/>
        <v>0</v>
      </c>
      <c r="AF349" s="43">
        <f t="shared" si="9"/>
        <v>0</v>
      </c>
      <c r="AG349" s="44">
        <f t="shared" si="10"/>
        <v>0</v>
      </c>
      <c r="AH349" s="45">
        <f t="shared" si="11"/>
        <v>0</v>
      </c>
      <c r="AI349" s="46">
        <f t="shared" si="12"/>
        <v>0</v>
      </c>
      <c r="AJ349" s="47">
        <f t="shared" si="13"/>
        <v>0</v>
      </c>
      <c r="AK349" s="5"/>
      <c r="AL349" s="42">
        <f t="shared" si="14"/>
        <v>1</v>
      </c>
      <c r="AM349" s="3">
        <f t="shared" si="15"/>
        <v>1</v>
      </c>
      <c r="AN349" s="3">
        <f t="shared" si="16"/>
        <v>1</v>
      </c>
      <c r="AO349" s="3">
        <f t="shared" si="17"/>
        <v>1743.74</v>
      </c>
      <c r="AP349" s="44">
        <f t="shared" si="18"/>
        <v>12243.3</v>
      </c>
      <c r="AQ349" s="48">
        <f t="shared" si="19"/>
        <v>4.933333333</v>
      </c>
      <c r="AR349" s="46">
        <f t="shared" si="20"/>
        <v>0.002147740341</v>
      </c>
      <c r="AS349" s="47">
        <f t="shared" si="21"/>
        <v>0.0004460412153</v>
      </c>
      <c r="AT349" s="5"/>
      <c r="AU349" s="49">
        <f t="shared" si="27"/>
        <v>12243.3</v>
      </c>
      <c r="AV349" s="50">
        <f t="shared" si="23"/>
        <v>1</v>
      </c>
      <c r="AW349" s="51">
        <f t="shared" si="24"/>
        <v>0.001187883976</v>
      </c>
      <c r="AX349" s="52">
        <f t="shared" si="25"/>
        <v>0.0002466989151</v>
      </c>
      <c r="AY349" s="5"/>
      <c r="AZ349" s="53">
        <f t="shared" si="26"/>
        <v>1</v>
      </c>
      <c r="BA349" s="5"/>
      <c r="BB349" s="5"/>
      <c r="BC349" s="5"/>
    </row>
    <row r="350" ht="12.75" customHeight="1">
      <c r="A350" s="25"/>
      <c r="B350" s="27" t="s">
        <v>620</v>
      </c>
      <c r="C350" s="113">
        <v>46631.9</v>
      </c>
      <c r="D350" s="28">
        <v>43277.1</v>
      </c>
      <c r="E350" s="29" t="s">
        <v>49</v>
      </c>
      <c r="F350" s="30">
        <v>43100.0</v>
      </c>
      <c r="G350" s="30" t="s">
        <v>40</v>
      </c>
      <c r="H350" s="30">
        <v>43373.0</v>
      </c>
      <c r="I350" s="32">
        <f t="shared" si="1"/>
        <v>9.1</v>
      </c>
      <c r="J350" s="33" t="s">
        <v>621</v>
      </c>
      <c r="K350" s="34">
        <v>45000.0</v>
      </c>
      <c r="L350" s="115">
        <v>3068.9</v>
      </c>
      <c r="M350" s="35">
        <v>8558.34</v>
      </c>
      <c r="N350" s="35">
        <v>309.05</v>
      </c>
      <c r="O350" s="35">
        <f t="shared" si="65"/>
        <v>0</v>
      </c>
      <c r="P350" s="35">
        <f t="shared" si="3"/>
        <v>10213.39</v>
      </c>
      <c r="Q350" s="36">
        <f t="shared" si="4"/>
        <v>0.2359998706</v>
      </c>
      <c r="R350" s="36">
        <f t="shared" si="5"/>
        <v>0.7640001294</v>
      </c>
      <c r="S350" s="37"/>
      <c r="T350" s="5"/>
      <c r="U350" s="54">
        <v>1325.25</v>
      </c>
      <c r="V350" s="55">
        <v>3090.14</v>
      </c>
      <c r="W350" s="55">
        <f t="shared" si="62"/>
        <v>4415.39</v>
      </c>
      <c r="X350" s="56">
        <v>0.0817</v>
      </c>
      <c r="Y350" s="55">
        <f t="shared" si="63"/>
        <v>1743.652144</v>
      </c>
      <c r="Z350" s="55">
        <f t="shared" si="43"/>
        <v>1743.652144</v>
      </c>
      <c r="AA350" s="57">
        <f t="shared" si="44"/>
        <v>3068.902144</v>
      </c>
      <c r="AB350" s="5"/>
      <c r="AC350" s="42">
        <f t="shared" si="6"/>
        <v>1</v>
      </c>
      <c r="AD350" s="3">
        <f t="shared" si="7"/>
        <v>1</v>
      </c>
      <c r="AE350" s="3">
        <f t="shared" si="8"/>
        <v>1</v>
      </c>
      <c r="AF350" s="43">
        <f t="shared" si="9"/>
        <v>8867.39</v>
      </c>
      <c r="AG350" s="44">
        <f t="shared" si="10"/>
        <v>43277.1</v>
      </c>
      <c r="AH350" s="45">
        <f t="shared" si="11"/>
        <v>9.1</v>
      </c>
      <c r="AI350" s="46">
        <f t="shared" si="12"/>
        <v>0.009365296595</v>
      </c>
      <c r="AJ350" s="47">
        <f t="shared" si="13"/>
        <v>0.002210208785</v>
      </c>
      <c r="AK350" s="5"/>
      <c r="AL350" s="42">
        <f t="shared" si="14"/>
        <v>0</v>
      </c>
      <c r="AM350" s="3">
        <f t="shared" si="15"/>
        <v>1</v>
      </c>
      <c r="AN350" s="3">
        <f t="shared" si="16"/>
        <v>0</v>
      </c>
      <c r="AO350" s="3">
        <f t="shared" si="17"/>
        <v>0</v>
      </c>
      <c r="AP350" s="44">
        <f t="shared" si="18"/>
        <v>0</v>
      </c>
      <c r="AQ350" s="48">
        <f t="shared" si="19"/>
        <v>0</v>
      </c>
      <c r="AR350" s="46">
        <f t="shared" si="20"/>
        <v>0</v>
      </c>
      <c r="AS350" s="47">
        <f t="shared" si="21"/>
        <v>0</v>
      </c>
      <c r="AT350" s="5"/>
      <c r="AU350" s="49">
        <f t="shared" si="27"/>
        <v>43277.1</v>
      </c>
      <c r="AV350" s="50">
        <f t="shared" si="23"/>
        <v>1</v>
      </c>
      <c r="AW350" s="51">
        <f t="shared" si="24"/>
        <v>0.004198882132</v>
      </c>
      <c r="AX350" s="52">
        <f t="shared" si="25"/>
        <v>0.0009909356399</v>
      </c>
      <c r="AY350" s="5"/>
      <c r="AZ350" s="53">
        <f t="shared" si="26"/>
        <v>1</v>
      </c>
      <c r="BA350" s="5"/>
      <c r="BB350" s="5"/>
      <c r="BC350" s="5"/>
    </row>
    <row r="351" ht="12.75" customHeight="1">
      <c r="A351" s="25"/>
      <c r="B351" s="27" t="s">
        <v>622</v>
      </c>
      <c r="C351" s="113">
        <v>28800.0</v>
      </c>
      <c r="D351" s="28">
        <v>28591.08</v>
      </c>
      <c r="E351" s="29" t="s">
        <v>49</v>
      </c>
      <c r="F351" s="30">
        <v>43100.0</v>
      </c>
      <c r="G351" s="30" t="s">
        <v>40</v>
      </c>
      <c r="H351" s="30">
        <v>43524.0</v>
      </c>
      <c r="I351" s="32">
        <f t="shared" si="1"/>
        <v>14.13333333</v>
      </c>
      <c r="J351" s="33" t="s">
        <v>623</v>
      </c>
      <c r="K351" s="34">
        <v>35000.0</v>
      </c>
      <c r="L351" s="115">
        <v>3431.89</v>
      </c>
      <c r="M351" s="35">
        <v>5208.62</v>
      </c>
      <c r="N351" s="35">
        <v>37.01</v>
      </c>
      <c r="O351" s="35">
        <f t="shared" si="65"/>
        <v>0</v>
      </c>
      <c r="P351" s="35">
        <f t="shared" si="3"/>
        <v>2268.6</v>
      </c>
      <c r="Q351" s="36">
        <f t="shared" si="4"/>
        <v>0.07934642553</v>
      </c>
      <c r="R351" s="36">
        <f t="shared" si="5"/>
        <v>0.9206535745</v>
      </c>
      <c r="S351" s="37"/>
      <c r="T351" s="5"/>
      <c r="U351" s="54">
        <v>2339.16</v>
      </c>
      <c r="V351" s="55">
        <v>1521.17</v>
      </c>
      <c r="W351" s="55">
        <f t="shared" si="62"/>
        <v>3860.33</v>
      </c>
      <c r="X351" s="56">
        <v>0.0775</v>
      </c>
      <c r="Y351" s="55">
        <f t="shared" si="63"/>
        <v>1092.727578</v>
      </c>
      <c r="Z351" s="55">
        <f t="shared" si="43"/>
        <v>1092.727578</v>
      </c>
      <c r="AA351" s="57">
        <f t="shared" si="44"/>
        <v>3431.887578</v>
      </c>
      <c r="AB351" s="5"/>
      <c r="AC351" s="42">
        <f t="shared" si="6"/>
        <v>1</v>
      </c>
      <c r="AD351" s="3">
        <f t="shared" si="7"/>
        <v>1</v>
      </c>
      <c r="AE351" s="3">
        <f t="shared" si="8"/>
        <v>1</v>
      </c>
      <c r="AF351" s="43">
        <f t="shared" si="9"/>
        <v>5245.63</v>
      </c>
      <c r="AG351" s="44">
        <f t="shared" si="10"/>
        <v>28591.08</v>
      </c>
      <c r="AH351" s="45">
        <f t="shared" si="11"/>
        <v>14.13333333</v>
      </c>
      <c r="AI351" s="46">
        <f t="shared" si="12"/>
        <v>0.006187197021</v>
      </c>
      <c r="AJ351" s="47">
        <f t="shared" si="13"/>
        <v>0.0004909319676</v>
      </c>
      <c r="AK351" s="5"/>
      <c r="AL351" s="42">
        <f t="shared" si="14"/>
        <v>0</v>
      </c>
      <c r="AM351" s="3">
        <f t="shared" si="15"/>
        <v>1</v>
      </c>
      <c r="AN351" s="3">
        <f t="shared" si="16"/>
        <v>0</v>
      </c>
      <c r="AO351" s="3">
        <f t="shared" si="17"/>
        <v>0</v>
      </c>
      <c r="AP351" s="44">
        <f t="shared" si="18"/>
        <v>0</v>
      </c>
      <c r="AQ351" s="48">
        <f t="shared" si="19"/>
        <v>0</v>
      </c>
      <c r="AR351" s="46">
        <f t="shared" si="20"/>
        <v>0</v>
      </c>
      <c r="AS351" s="47">
        <f t="shared" si="21"/>
        <v>0</v>
      </c>
      <c r="AT351" s="5"/>
      <c r="AU351" s="49">
        <f t="shared" si="27"/>
        <v>28591.08</v>
      </c>
      <c r="AV351" s="50">
        <f t="shared" si="23"/>
        <v>1</v>
      </c>
      <c r="AW351" s="51">
        <f t="shared" si="24"/>
        <v>0.002773997679</v>
      </c>
      <c r="AX351" s="52">
        <f t="shared" si="25"/>
        <v>0.0002201068003</v>
      </c>
      <c r="AY351" s="5"/>
      <c r="AZ351" s="53">
        <f t="shared" si="26"/>
        <v>1</v>
      </c>
      <c r="BA351" s="5"/>
      <c r="BB351" s="5"/>
      <c r="BC351" s="5"/>
    </row>
    <row r="352" ht="12.75" customHeight="1">
      <c r="A352" s="25"/>
      <c r="B352" s="27" t="s">
        <v>624</v>
      </c>
      <c r="C352" s="113">
        <v>20000.0</v>
      </c>
      <c r="D352" s="28">
        <v>18527.58</v>
      </c>
      <c r="E352" s="29" t="s">
        <v>49</v>
      </c>
      <c r="F352" s="30">
        <v>43131.0</v>
      </c>
      <c r="G352" s="30" t="s">
        <v>40</v>
      </c>
      <c r="H352" s="30">
        <v>43159.0</v>
      </c>
      <c r="I352" s="32">
        <f t="shared" si="1"/>
        <v>0.9333333333</v>
      </c>
      <c r="J352" s="33" t="s">
        <v>129</v>
      </c>
      <c r="K352" s="34">
        <v>24000.0</v>
      </c>
      <c r="L352" s="115">
        <v>1533.55</v>
      </c>
      <c r="M352" s="35">
        <v>2283.24</v>
      </c>
      <c r="N352" s="35">
        <v>0.0</v>
      </c>
      <c r="O352" s="35">
        <f t="shared" si="65"/>
        <v>0</v>
      </c>
      <c r="P352" s="35">
        <f t="shared" si="3"/>
        <v>0</v>
      </c>
      <c r="Q352" s="36">
        <f t="shared" si="4"/>
        <v>0</v>
      </c>
      <c r="R352" s="36">
        <f t="shared" si="5"/>
        <v>1</v>
      </c>
      <c r="S352" s="37"/>
      <c r="T352" s="5"/>
      <c r="U352" s="54">
        <v>651.84</v>
      </c>
      <c r="V352" s="55">
        <v>7654.9</v>
      </c>
      <c r="W352" s="55">
        <f t="shared" si="62"/>
        <v>8306.74</v>
      </c>
      <c r="X352" s="56">
        <v>0.0965</v>
      </c>
      <c r="Y352" s="55">
        <f t="shared" si="63"/>
        <v>881.709766</v>
      </c>
      <c r="Z352" s="55">
        <f t="shared" si="43"/>
        <v>881.709766</v>
      </c>
      <c r="AA352" s="57">
        <f t="shared" si="44"/>
        <v>1533.549766</v>
      </c>
      <c r="AB352" s="5"/>
      <c r="AC352" s="42">
        <f t="shared" si="6"/>
        <v>1</v>
      </c>
      <c r="AD352" s="3">
        <f t="shared" si="7"/>
        <v>1</v>
      </c>
      <c r="AE352" s="3">
        <f t="shared" si="8"/>
        <v>1</v>
      </c>
      <c r="AF352" s="43">
        <f t="shared" si="9"/>
        <v>2283.24</v>
      </c>
      <c r="AG352" s="44">
        <f t="shared" si="10"/>
        <v>18527.58</v>
      </c>
      <c r="AH352" s="45">
        <f t="shared" si="11"/>
        <v>0.9333333333</v>
      </c>
      <c r="AI352" s="46">
        <f t="shared" si="12"/>
        <v>0.00400942489</v>
      </c>
      <c r="AJ352" s="47">
        <f t="shared" si="13"/>
        <v>0</v>
      </c>
      <c r="AK352" s="5"/>
      <c r="AL352" s="42">
        <f t="shared" si="14"/>
        <v>0</v>
      </c>
      <c r="AM352" s="3">
        <f t="shared" si="15"/>
        <v>1</v>
      </c>
      <c r="AN352" s="3">
        <f t="shared" si="16"/>
        <v>0</v>
      </c>
      <c r="AO352" s="3">
        <f t="shared" si="17"/>
        <v>0</v>
      </c>
      <c r="AP352" s="44">
        <f t="shared" si="18"/>
        <v>0</v>
      </c>
      <c r="AQ352" s="48">
        <f t="shared" si="19"/>
        <v>0</v>
      </c>
      <c r="AR352" s="46">
        <f t="shared" si="20"/>
        <v>0</v>
      </c>
      <c r="AS352" s="47">
        <f t="shared" si="21"/>
        <v>0</v>
      </c>
      <c r="AT352" s="5"/>
      <c r="AU352" s="49">
        <f t="shared" si="27"/>
        <v>18527.58</v>
      </c>
      <c r="AV352" s="50">
        <f t="shared" si="23"/>
        <v>1</v>
      </c>
      <c r="AW352" s="51">
        <f t="shared" si="24"/>
        <v>0.001797604844</v>
      </c>
      <c r="AX352" s="52">
        <f t="shared" si="25"/>
        <v>0</v>
      </c>
      <c r="AY352" s="5"/>
      <c r="AZ352" s="53">
        <f t="shared" si="26"/>
        <v>1</v>
      </c>
      <c r="BA352" s="5"/>
      <c r="BB352" s="5"/>
      <c r="BC352" s="5"/>
    </row>
    <row r="353" ht="12.75" customHeight="1">
      <c r="A353" s="25"/>
      <c r="B353" s="27" t="s">
        <v>625</v>
      </c>
      <c r="C353" s="113">
        <v>10529.6</v>
      </c>
      <c r="D353" s="28">
        <v>9514.0</v>
      </c>
      <c r="E353" s="29" t="s">
        <v>49</v>
      </c>
      <c r="F353" s="30">
        <v>43131.0</v>
      </c>
      <c r="G353" s="30" t="s">
        <v>40</v>
      </c>
      <c r="H353" s="30">
        <v>43218.0</v>
      </c>
      <c r="I353" s="32">
        <f t="shared" si="1"/>
        <v>2.9</v>
      </c>
      <c r="J353" s="33" t="s">
        <v>129</v>
      </c>
      <c r="K353" s="34">
        <v>6000.0</v>
      </c>
      <c r="L353" s="65">
        <v>365.28</v>
      </c>
      <c r="M353" s="35">
        <v>842.82</v>
      </c>
      <c r="N353" s="35">
        <v>0.0</v>
      </c>
      <c r="O353" s="35">
        <f t="shared" si="65"/>
        <v>3514</v>
      </c>
      <c r="P353" s="35">
        <f t="shared" si="3"/>
        <v>4722.1</v>
      </c>
      <c r="Q353" s="36">
        <f t="shared" si="4"/>
        <v>0.4963317217</v>
      </c>
      <c r="R353" s="36">
        <f t="shared" si="5"/>
        <v>0.5036682783</v>
      </c>
      <c r="S353" s="37"/>
      <c r="T353" s="5"/>
      <c r="U353" s="54">
        <v>29.96</v>
      </c>
      <c r="V353" s="55">
        <v>305.36</v>
      </c>
      <c r="W353" s="55">
        <f t="shared" si="62"/>
        <v>335.32</v>
      </c>
      <c r="X353" s="56">
        <v>0.0955</v>
      </c>
      <c r="Y353" s="55">
        <f t="shared" si="63"/>
        <v>448.0703014</v>
      </c>
      <c r="Z353" s="55">
        <f t="shared" si="43"/>
        <v>335.32</v>
      </c>
      <c r="AA353" s="57">
        <f t="shared" si="44"/>
        <v>365.28</v>
      </c>
      <c r="AB353" s="5"/>
      <c r="AC353" s="42">
        <f t="shared" si="6"/>
        <v>1</v>
      </c>
      <c r="AD353" s="3">
        <f t="shared" si="7"/>
        <v>1</v>
      </c>
      <c r="AE353" s="3">
        <f t="shared" si="8"/>
        <v>1</v>
      </c>
      <c r="AF353" s="43">
        <f t="shared" si="9"/>
        <v>842.82</v>
      </c>
      <c r="AG353" s="44">
        <f t="shared" si="10"/>
        <v>9514</v>
      </c>
      <c r="AH353" s="45">
        <f t="shared" si="11"/>
        <v>2.9</v>
      </c>
      <c r="AI353" s="46">
        <f t="shared" si="12"/>
        <v>0.002058858653</v>
      </c>
      <c r="AJ353" s="47">
        <f t="shared" si="13"/>
        <v>0.00102187686</v>
      </c>
      <c r="AK353" s="5"/>
      <c r="AL353" s="42">
        <f t="shared" si="14"/>
        <v>0</v>
      </c>
      <c r="AM353" s="3">
        <f t="shared" si="15"/>
        <v>1</v>
      </c>
      <c r="AN353" s="3">
        <f t="shared" si="16"/>
        <v>0</v>
      </c>
      <c r="AO353" s="3">
        <f t="shared" si="17"/>
        <v>0</v>
      </c>
      <c r="AP353" s="44">
        <f t="shared" si="18"/>
        <v>0</v>
      </c>
      <c r="AQ353" s="48">
        <f t="shared" si="19"/>
        <v>0</v>
      </c>
      <c r="AR353" s="46">
        <f t="shared" si="20"/>
        <v>0</v>
      </c>
      <c r="AS353" s="47">
        <f t="shared" si="21"/>
        <v>0</v>
      </c>
      <c r="AT353" s="5"/>
      <c r="AU353" s="49">
        <f t="shared" si="27"/>
        <v>9514</v>
      </c>
      <c r="AV353" s="50">
        <f t="shared" si="23"/>
        <v>1</v>
      </c>
      <c r="AW353" s="51">
        <f t="shared" si="24"/>
        <v>0.0009230785937</v>
      </c>
      <c r="AX353" s="52">
        <f t="shared" si="25"/>
        <v>0.0004581531876</v>
      </c>
      <c r="AY353" s="5"/>
      <c r="AZ353" s="53">
        <f t="shared" si="26"/>
        <v>1</v>
      </c>
      <c r="BA353" s="5"/>
      <c r="BB353" s="5"/>
      <c r="BC353" s="5"/>
    </row>
    <row r="354" ht="12.75" customHeight="1">
      <c r="A354" s="25"/>
      <c r="B354" s="27" t="s">
        <v>204</v>
      </c>
      <c r="C354" s="113">
        <v>12580.0</v>
      </c>
      <c r="D354" s="28">
        <v>10248.77</v>
      </c>
      <c r="E354" s="29" t="s">
        <v>39</v>
      </c>
      <c r="F354" s="30">
        <v>43131.0</v>
      </c>
      <c r="G354" s="30" t="s">
        <v>40</v>
      </c>
      <c r="H354" s="30">
        <v>43738.0</v>
      </c>
      <c r="I354" s="32">
        <f t="shared" si="1"/>
        <v>20.23333333</v>
      </c>
      <c r="J354" s="33" t="s">
        <v>626</v>
      </c>
      <c r="K354" s="34">
        <v>9000.0</v>
      </c>
      <c r="L354" s="115">
        <v>718.75</v>
      </c>
      <c r="M354" s="35">
        <v>1137.58</v>
      </c>
      <c r="N354" s="35">
        <v>235.0</v>
      </c>
      <c r="O354" s="35">
        <f t="shared" si="65"/>
        <v>1248.77</v>
      </c>
      <c r="P354" s="35">
        <f t="shared" si="3"/>
        <v>3340.1</v>
      </c>
      <c r="Q354" s="36">
        <f t="shared" si="4"/>
        <v>0.3259025229</v>
      </c>
      <c r="R354" s="36">
        <f t="shared" si="5"/>
        <v>0.6740974771</v>
      </c>
      <c r="S354" s="37"/>
      <c r="T354" s="5"/>
      <c r="U354" s="54">
        <v>238.6</v>
      </c>
      <c r="V354" s="55">
        <v>1654.86</v>
      </c>
      <c r="W354" s="55">
        <f t="shared" si="62"/>
        <v>1893.46</v>
      </c>
      <c r="X354" s="56">
        <v>0.095</v>
      </c>
      <c r="Y354" s="55">
        <f t="shared" si="63"/>
        <v>480.1478548</v>
      </c>
      <c r="Z354" s="55">
        <f t="shared" si="43"/>
        <v>480.1478548</v>
      </c>
      <c r="AA354" s="57">
        <f t="shared" si="44"/>
        <v>718.7478548</v>
      </c>
      <c r="AB354" s="5"/>
      <c r="AC354" s="42">
        <f t="shared" si="6"/>
        <v>0</v>
      </c>
      <c r="AD354" s="3">
        <f t="shared" si="7"/>
        <v>1</v>
      </c>
      <c r="AE354" s="3">
        <f t="shared" si="8"/>
        <v>0</v>
      </c>
      <c r="AF354" s="43">
        <f t="shared" si="9"/>
        <v>0</v>
      </c>
      <c r="AG354" s="44">
        <f t="shared" si="10"/>
        <v>0</v>
      </c>
      <c r="AH354" s="45">
        <f t="shared" si="11"/>
        <v>0</v>
      </c>
      <c r="AI354" s="46">
        <f t="shared" si="12"/>
        <v>0</v>
      </c>
      <c r="AJ354" s="47">
        <f t="shared" si="13"/>
        <v>0</v>
      </c>
      <c r="AK354" s="5"/>
      <c r="AL354" s="42">
        <f t="shared" si="14"/>
        <v>1</v>
      </c>
      <c r="AM354" s="3">
        <f t="shared" si="15"/>
        <v>1</v>
      </c>
      <c r="AN354" s="3">
        <f t="shared" si="16"/>
        <v>1</v>
      </c>
      <c r="AO354" s="3">
        <f t="shared" si="17"/>
        <v>1372.58</v>
      </c>
      <c r="AP354" s="44">
        <f t="shared" si="18"/>
        <v>10248.77</v>
      </c>
      <c r="AQ354" s="48">
        <f t="shared" si="19"/>
        <v>20.23333333</v>
      </c>
      <c r="AR354" s="46">
        <f t="shared" si="20"/>
        <v>0.001797856524</v>
      </c>
      <c r="AS354" s="47">
        <f t="shared" si="21"/>
        <v>0.000585925977</v>
      </c>
      <c r="AT354" s="5"/>
      <c r="AU354" s="49">
        <f t="shared" si="27"/>
        <v>10248.77</v>
      </c>
      <c r="AV354" s="50">
        <f t="shared" si="23"/>
        <v>1</v>
      </c>
      <c r="AW354" s="51">
        <f t="shared" si="24"/>
        <v>0.0009943683202</v>
      </c>
      <c r="AX354" s="52">
        <f t="shared" si="25"/>
        <v>0.0003240671443</v>
      </c>
      <c r="AY354" s="5"/>
      <c r="AZ354" s="53">
        <f t="shared" si="26"/>
        <v>1</v>
      </c>
      <c r="BA354" s="5"/>
      <c r="BB354" s="5"/>
      <c r="BC354" s="5"/>
    </row>
    <row r="355" ht="12.75" customHeight="1">
      <c r="A355" s="25"/>
      <c r="B355" s="27" t="s">
        <v>627</v>
      </c>
      <c r="C355" s="113">
        <v>17354.57</v>
      </c>
      <c r="D355" s="28">
        <v>16218.75</v>
      </c>
      <c r="E355" s="29" t="s">
        <v>39</v>
      </c>
      <c r="F355" s="30">
        <v>43159.0</v>
      </c>
      <c r="G355" s="30" t="s">
        <v>40</v>
      </c>
      <c r="H355" s="30">
        <v>43373.0</v>
      </c>
      <c r="I355" s="32">
        <f t="shared" si="1"/>
        <v>7.133333333</v>
      </c>
      <c r="J355" s="33" t="s">
        <v>628</v>
      </c>
      <c r="K355" s="34">
        <v>14500.0</v>
      </c>
      <c r="L355" s="115">
        <v>980.47</v>
      </c>
      <c r="M355" s="35">
        <v>2945.79</v>
      </c>
      <c r="N355" s="35">
        <v>1225.68</v>
      </c>
      <c r="O355" s="35">
        <f t="shared" si="65"/>
        <v>1718.75</v>
      </c>
      <c r="P355" s="35">
        <f t="shared" si="3"/>
        <v>6870.69</v>
      </c>
      <c r="Q355" s="36">
        <f t="shared" si="4"/>
        <v>0.4236263584</v>
      </c>
      <c r="R355" s="36">
        <f t="shared" si="5"/>
        <v>0.5763736416</v>
      </c>
      <c r="S355" s="37"/>
      <c r="T355" s="5"/>
      <c r="U355" s="54">
        <v>245.43</v>
      </c>
      <c r="V355" s="55">
        <v>3443.2</v>
      </c>
      <c r="W355" s="55">
        <f t="shared" si="62"/>
        <v>3688.63</v>
      </c>
      <c r="X355" s="56">
        <v>0.0919</v>
      </c>
      <c r="Y355" s="55">
        <f t="shared" si="63"/>
        <v>735.042637</v>
      </c>
      <c r="Z355" s="55">
        <f t="shared" si="43"/>
        <v>735.042637</v>
      </c>
      <c r="AA355" s="57">
        <f t="shared" si="44"/>
        <v>980.472637</v>
      </c>
      <c r="AB355" s="5"/>
      <c r="AC355" s="42">
        <f t="shared" si="6"/>
        <v>0</v>
      </c>
      <c r="AD355" s="3">
        <f t="shared" si="7"/>
        <v>1</v>
      </c>
      <c r="AE355" s="3">
        <f t="shared" si="8"/>
        <v>0</v>
      </c>
      <c r="AF355" s="43">
        <f t="shared" si="9"/>
        <v>0</v>
      </c>
      <c r="AG355" s="44">
        <f t="shared" si="10"/>
        <v>0</v>
      </c>
      <c r="AH355" s="45">
        <f t="shared" si="11"/>
        <v>0</v>
      </c>
      <c r="AI355" s="46">
        <f t="shared" si="12"/>
        <v>0</v>
      </c>
      <c r="AJ355" s="47">
        <f t="shared" si="13"/>
        <v>0</v>
      </c>
      <c r="AK355" s="5"/>
      <c r="AL355" s="42">
        <f t="shared" si="14"/>
        <v>1</v>
      </c>
      <c r="AM355" s="3">
        <f t="shared" si="15"/>
        <v>1</v>
      </c>
      <c r="AN355" s="3">
        <f t="shared" si="16"/>
        <v>1</v>
      </c>
      <c r="AO355" s="3">
        <f t="shared" si="17"/>
        <v>4171.47</v>
      </c>
      <c r="AP355" s="44">
        <f t="shared" si="18"/>
        <v>16218.75</v>
      </c>
      <c r="AQ355" s="48">
        <f t="shared" si="19"/>
        <v>7.133333333</v>
      </c>
      <c r="AR355" s="46">
        <f t="shared" si="20"/>
        <v>0.002845120487</v>
      </c>
      <c r="AS355" s="47">
        <f t="shared" si="21"/>
        <v>0.001205268031</v>
      </c>
      <c r="AT355" s="5"/>
      <c r="AU355" s="49">
        <f t="shared" si="27"/>
        <v>16218.75</v>
      </c>
      <c r="AV355" s="50">
        <f t="shared" si="23"/>
        <v>1</v>
      </c>
      <c r="AW355" s="51">
        <f t="shared" si="24"/>
        <v>0.001573594801</v>
      </c>
      <c r="AX355" s="52">
        <f t="shared" si="25"/>
        <v>0.0006666162353</v>
      </c>
      <c r="AY355" s="5"/>
      <c r="AZ355" s="53">
        <f t="shared" si="26"/>
        <v>1</v>
      </c>
      <c r="BA355" s="5"/>
      <c r="BB355" s="5"/>
      <c r="BC355" s="5"/>
    </row>
    <row r="356" ht="12.75" customHeight="1">
      <c r="A356" s="25"/>
      <c r="B356" s="27" t="s">
        <v>629</v>
      </c>
      <c r="C356" s="113">
        <v>20700.0</v>
      </c>
      <c r="D356" s="28">
        <v>19845.22</v>
      </c>
      <c r="E356" s="29" t="s">
        <v>49</v>
      </c>
      <c r="F356" s="30">
        <v>43190.0</v>
      </c>
      <c r="G356" s="30" t="s">
        <v>40</v>
      </c>
      <c r="H356" s="30">
        <v>43524.0</v>
      </c>
      <c r="I356" s="32">
        <f t="shared" si="1"/>
        <v>11.13333333</v>
      </c>
      <c r="J356" s="33" t="s">
        <v>129</v>
      </c>
      <c r="K356" s="34">
        <v>28000.0</v>
      </c>
      <c r="L356" s="115">
        <v>1862.04</v>
      </c>
      <c r="M356" s="35">
        <v>3899.48</v>
      </c>
      <c r="N356" s="35">
        <v>478.8</v>
      </c>
      <c r="O356" s="35">
        <f t="shared" si="65"/>
        <v>0</v>
      </c>
      <c r="P356" s="35">
        <f t="shared" si="3"/>
        <v>0</v>
      </c>
      <c r="Q356" s="36">
        <f t="shared" si="4"/>
        <v>0</v>
      </c>
      <c r="R356" s="36">
        <f t="shared" si="5"/>
        <v>1</v>
      </c>
      <c r="S356" s="37"/>
      <c r="T356" s="5"/>
      <c r="U356" s="54">
        <v>1017.45</v>
      </c>
      <c r="V356" s="55">
        <v>3216.96</v>
      </c>
      <c r="W356" s="55">
        <f t="shared" si="62"/>
        <v>4234.41</v>
      </c>
      <c r="X356" s="56">
        <v>0.0863</v>
      </c>
      <c r="Y356" s="55">
        <f t="shared" si="63"/>
        <v>844.590815</v>
      </c>
      <c r="Z356" s="55">
        <f t="shared" si="43"/>
        <v>844.590815</v>
      </c>
      <c r="AA356" s="57">
        <f t="shared" si="44"/>
        <v>1862.040815</v>
      </c>
      <c r="AB356" s="5"/>
      <c r="AC356" s="42">
        <f t="shared" si="6"/>
        <v>1</v>
      </c>
      <c r="AD356" s="3">
        <f t="shared" si="7"/>
        <v>1</v>
      </c>
      <c r="AE356" s="3">
        <f t="shared" si="8"/>
        <v>1</v>
      </c>
      <c r="AF356" s="43">
        <f t="shared" si="9"/>
        <v>4378.28</v>
      </c>
      <c r="AG356" s="44">
        <f t="shared" si="10"/>
        <v>19845.22</v>
      </c>
      <c r="AH356" s="45">
        <f t="shared" si="11"/>
        <v>11.13333333</v>
      </c>
      <c r="AI356" s="46">
        <f t="shared" si="12"/>
        <v>0.004294566209</v>
      </c>
      <c r="AJ356" s="47">
        <f t="shared" si="13"/>
        <v>0</v>
      </c>
      <c r="AK356" s="5"/>
      <c r="AL356" s="42">
        <f t="shared" si="14"/>
        <v>0</v>
      </c>
      <c r="AM356" s="3">
        <f t="shared" si="15"/>
        <v>1</v>
      </c>
      <c r="AN356" s="3">
        <f t="shared" si="16"/>
        <v>0</v>
      </c>
      <c r="AO356" s="3">
        <f t="shared" si="17"/>
        <v>0</v>
      </c>
      <c r="AP356" s="44">
        <f t="shared" si="18"/>
        <v>0</v>
      </c>
      <c r="AQ356" s="48">
        <f t="shared" si="19"/>
        <v>0</v>
      </c>
      <c r="AR356" s="46">
        <f t="shared" si="20"/>
        <v>0</v>
      </c>
      <c r="AS356" s="47">
        <f t="shared" si="21"/>
        <v>0</v>
      </c>
      <c r="AT356" s="5"/>
      <c r="AU356" s="49">
        <f t="shared" si="27"/>
        <v>19845.22</v>
      </c>
      <c r="AV356" s="50">
        <f t="shared" si="23"/>
        <v>1</v>
      </c>
      <c r="AW356" s="51">
        <f t="shared" si="24"/>
        <v>0.001925446476</v>
      </c>
      <c r="AX356" s="52">
        <f t="shared" si="25"/>
        <v>0</v>
      </c>
      <c r="AY356" s="5"/>
      <c r="AZ356" s="53">
        <f t="shared" si="26"/>
        <v>1</v>
      </c>
      <c r="BA356" s="5"/>
      <c r="BB356" s="5"/>
      <c r="BC356" s="5"/>
    </row>
    <row r="357" ht="12.75" customHeight="1">
      <c r="A357" s="25"/>
      <c r="B357" s="27" t="s">
        <v>630</v>
      </c>
      <c r="C357" s="113">
        <v>36654.35</v>
      </c>
      <c r="D357" s="28">
        <v>35758.06</v>
      </c>
      <c r="E357" s="29" t="s">
        <v>49</v>
      </c>
      <c r="F357" s="30">
        <v>43281.0</v>
      </c>
      <c r="G357" s="30" t="s">
        <v>40</v>
      </c>
      <c r="H357" s="30">
        <v>43312.0</v>
      </c>
      <c r="I357" s="32">
        <f t="shared" si="1"/>
        <v>1.033333333</v>
      </c>
      <c r="J357" s="33" t="s">
        <v>631</v>
      </c>
      <c r="K357" s="34">
        <v>40000.0</v>
      </c>
      <c r="L357" s="115">
        <v>2082.26</v>
      </c>
      <c r="M357" s="35">
        <v>5237.16</v>
      </c>
      <c r="N357" s="35">
        <v>53.42</v>
      </c>
      <c r="O357" s="35">
        <f t="shared" si="65"/>
        <v>0</v>
      </c>
      <c r="P357" s="35">
        <f t="shared" si="3"/>
        <v>3130.9</v>
      </c>
      <c r="Q357" s="36">
        <f t="shared" si="4"/>
        <v>0.08755788206</v>
      </c>
      <c r="R357" s="36">
        <f t="shared" si="5"/>
        <v>0.9124421179</v>
      </c>
      <c r="S357" s="37"/>
      <c r="T357" s="5"/>
      <c r="U357" s="54">
        <v>803.79</v>
      </c>
      <c r="V357" s="55">
        <v>4909.68</v>
      </c>
      <c r="W357" s="55">
        <f t="shared" si="62"/>
        <v>5713.47</v>
      </c>
      <c r="X357" s="56">
        <v>0.0725</v>
      </c>
      <c r="Y357" s="55">
        <f t="shared" si="63"/>
        <v>1278.473104</v>
      </c>
      <c r="Z357" s="55">
        <f t="shared" si="43"/>
        <v>1278.473104</v>
      </c>
      <c r="AA357" s="57">
        <f t="shared" si="44"/>
        <v>2082.263104</v>
      </c>
      <c r="AB357" s="5"/>
      <c r="AC357" s="42">
        <f t="shared" si="6"/>
        <v>1</v>
      </c>
      <c r="AD357" s="3">
        <f t="shared" si="7"/>
        <v>1</v>
      </c>
      <c r="AE357" s="3">
        <f t="shared" si="8"/>
        <v>1</v>
      </c>
      <c r="AF357" s="43">
        <f t="shared" si="9"/>
        <v>5290.58</v>
      </c>
      <c r="AG357" s="44">
        <f t="shared" si="10"/>
        <v>35758.06</v>
      </c>
      <c r="AH357" s="45">
        <f t="shared" si="11"/>
        <v>1.033333333</v>
      </c>
      <c r="AI357" s="46">
        <f t="shared" si="12"/>
        <v>0.007738153378</v>
      </c>
      <c r="AJ357" s="47">
        <f t="shared" si="13"/>
        <v>0.0006775363208</v>
      </c>
      <c r="AK357" s="5"/>
      <c r="AL357" s="42">
        <f t="shared" si="14"/>
        <v>0</v>
      </c>
      <c r="AM357" s="3">
        <f t="shared" si="15"/>
        <v>1</v>
      </c>
      <c r="AN357" s="3">
        <f t="shared" si="16"/>
        <v>0</v>
      </c>
      <c r="AO357" s="3">
        <f t="shared" si="17"/>
        <v>0</v>
      </c>
      <c r="AP357" s="44">
        <f t="shared" si="18"/>
        <v>0</v>
      </c>
      <c r="AQ357" s="48">
        <f t="shared" si="19"/>
        <v>0</v>
      </c>
      <c r="AR357" s="46">
        <f t="shared" si="20"/>
        <v>0</v>
      </c>
      <c r="AS357" s="47">
        <f t="shared" si="21"/>
        <v>0</v>
      </c>
      <c r="AT357" s="5"/>
      <c r="AU357" s="49">
        <f t="shared" si="27"/>
        <v>35758.06</v>
      </c>
      <c r="AV357" s="50">
        <f t="shared" si="23"/>
        <v>1</v>
      </c>
      <c r="AW357" s="51">
        <f t="shared" si="24"/>
        <v>0.003469360914</v>
      </c>
      <c r="AX357" s="52">
        <f t="shared" si="25"/>
        <v>0.0003037698937</v>
      </c>
      <c r="AY357" s="5"/>
      <c r="AZ357" s="53">
        <f t="shared" si="26"/>
        <v>1</v>
      </c>
      <c r="BA357" s="5"/>
      <c r="BB357" s="5"/>
      <c r="BC357" s="5"/>
    </row>
    <row r="358" ht="12.75" customHeight="1">
      <c r="A358" s="25"/>
      <c r="B358" s="27" t="s">
        <v>316</v>
      </c>
      <c r="C358" s="113">
        <v>21340.0</v>
      </c>
      <c r="D358" s="28">
        <v>20294.01</v>
      </c>
      <c r="E358" s="29" t="s">
        <v>49</v>
      </c>
      <c r="F358" s="30">
        <v>43281.0</v>
      </c>
      <c r="G358" s="30" t="s">
        <v>40</v>
      </c>
      <c r="H358" s="30">
        <v>43343.0</v>
      </c>
      <c r="I358" s="32">
        <f t="shared" si="1"/>
        <v>2.066666667</v>
      </c>
      <c r="J358" s="33" t="s">
        <v>632</v>
      </c>
      <c r="K358" s="34">
        <v>20000.0</v>
      </c>
      <c r="L358" s="115">
        <v>1174.29</v>
      </c>
      <c r="M358" s="35">
        <v>2871.53</v>
      </c>
      <c r="N358" s="35">
        <v>423.98</v>
      </c>
      <c r="O358" s="35">
        <f t="shared" si="65"/>
        <v>294.01</v>
      </c>
      <c r="P358" s="35">
        <f t="shared" si="3"/>
        <v>4763.81</v>
      </c>
      <c r="Q358" s="36">
        <f t="shared" si="4"/>
        <v>0.2347397089</v>
      </c>
      <c r="R358" s="36">
        <f t="shared" si="5"/>
        <v>0.7652602911</v>
      </c>
      <c r="S358" s="37"/>
      <c r="T358" s="5"/>
      <c r="U358" s="54">
        <v>392.66</v>
      </c>
      <c r="V358" s="55">
        <v>3816.77</v>
      </c>
      <c r="W358" s="55">
        <f t="shared" si="62"/>
        <v>4209.43</v>
      </c>
      <c r="X358" s="56">
        <v>0.0781</v>
      </c>
      <c r="Y358" s="55">
        <f t="shared" si="63"/>
        <v>781.6251852</v>
      </c>
      <c r="Z358" s="55">
        <f t="shared" si="43"/>
        <v>781.6251852</v>
      </c>
      <c r="AA358" s="57">
        <f t="shared" si="44"/>
        <v>1174.285185</v>
      </c>
      <c r="AB358" s="5"/>
      <c r="AC358" s="42">
        <f t="shared" si="6"/>
        <v>1</v>
      </c>
      <c r="AD358" s="3">
        <f t="shared" si="7"/>
        <v>1</v>
      </c>
      <c r="AE358" s="3">
        <f t="shared" si="8"/>
        <v>1</v>
      </c>
      <c r="AF358" s="43">
        <f t="shared" si="9"/>
        <v>3295.51</v>
      </c>
      <c r="AG358" s="44">
        <f t="shared" si="10"/>
        <v>20294.01</v>
      </c>
      <c r="AH358" s="45">
        <f t="shared" si="11"/>
        <v>2.066666667</v>
      </c>
      <c r="AI358" s="46">
        <f t="shared" si="12"/>
        <v>0.004391685736</v>
      </c>
      <c r="AJ358" s="47">
        <f t="shared" si="13"/>
        <v>0.001030903031</v>
      </c>
      <c r="AK358" s="5"/>
      <c r="AL358" s="42">
        <f t="shared" si="14"/>
        <v>0</v>
      </c>
      <c r="AM358" s="3">
        <f t="shared" si="15"/>
        <v>1</v>
      </c>
      <c r="AN358" s="3">
        <f t="shared" si="16"/>
        <v>0</v>
      </c>
      <c r="AO358" s="3">
        <f t="shared" si="17"/>
        <v>0</v>
      </c>
      <c r="AP358" s="44">
        <f t="shared" si="18"/>
        <v>0</v>
      </c>
      <c r="AQ358" s="48">
        <f t="shared" si="19"/>
        <v>0</v>
      </c>
      <c r="AR358" s="46">
        <f t="shared" si="20"/>
        <v>0</v>
      </c>
      <c r="AS358" s="47">
        <f t="shared" si="21"/>
        <v>0</v>
      </c>
      <c r="AT358" s="5"/>
      <c r="AU358" s="49">
        <f t="shared" si="27"/>
        <v>20294.01</v>
      </c>
      <c r="AV358" s="50">
        <f t="shared" si="23"/>
        <v>1</v>
      </c>
      <c r="AW358" s="51">
        <f t="shared" si="24"/>
        <v>0.001968989511</v>
      </c>
      <c r="AX358" s="52">
        <f t="shared" si="25"/>
        <v>0.0004622000247</v>
      </c>
      <c r="AY358" s="5"/>
      <c r="AZ358" s="53">
        <f t="shared" si="26"/>
        <v>1</v>
      </c>
      <c r="BA358" s="5"/>
      <c r="BB358" s="5"/>
      <c r="BC358" s="5"/>
    </row>
    <row r="359" ht="12.75" customHeight="1">
      <c r="A359" s="25"/>
      <c r="B359" s="27" t="s">
        <v>633</v>
      </c>
      <c r="C359" s="113">
        <v>75000.0</v>
      </c>
      <c r="D359" s="28">
        <v>68350.92</v>
      </c>
      <c r="E359" s="29" t="s">
        <v>49</v>
      </c>
      <c r="F359" s="30">
        <v>43281.0</v>
      </c>
      <c r="G359" s="30" t="s">
        <v>40</v>
      </c>
      <c r="H359" s="30">
        <v>43434.0</v>
      </c>
      <c r="I359" s="32">
        <f t="shared" si="1"/>
        <v>5.1</v>
      </c>
      <c r="J359" s="33" t="s">
        <v>634</v>
      </c>
      <c r="K359" s="34">
        <v>120000.0</v>
      </c>
      <c r="L359" s="115">
        <v>3805.41</v>
      </c>
      <c r="M359" s="35">
        <v>1367.01</v>
      </c>
      <c r="N359" s="35">
        <v>679.1299999999999</v>
      </c>
      <c r="O359" s="35">
        <f t="shared" si="65"/>
        <v>0</v>
      </c>
      <c r="P359" s="35">
        <f t="shared" si="3"/>
        <v>0</v>
      </c>
      <c r="Q359" s="36">
        <f t="shared" si="4"/>
        <v>0</v>
      </c>
      <c r="R359" s="36">
        <f t="shared" si="5"/>
        <v>1</v>
      </c>
      <c r="S359" s="37"/>
      <c r="T359" s="5"/>
      <c r="U359" s="54">
        <v>680.74</v>
      </c>
      <c r="V359" s="55">
        <v>5037.18</v>
      </c>
      <c r="W359" s="55">
        <f t="shared" si="62"/>
        <v>5717.92</v>
      </c>
      <c r="X359" s="56">
        <v>0.0927</v>
      </c>
      <c r="Y359" s="55">
        <f t="shared" si="63"/>
        <v>3124.666989</v>
      </c>
      <c r="Z359" s="55">
        <f t="shared" si="43"/>
        <v>3124.666989</v>
      </c>
      <c r="AA359" s="57">
        <f t="shared" si="44"/>
        <v>3805.406989</v>
      </c>
      <c r="AB359" s="5"/>
      <c r="AC359" s="42">
        <f t="shared" si="6"/>
        <v>1</v>
      </c>
      <c r="AD359" s="3">
        <f t="shared" si="7"/>
        <v>1</v>
      </c>
      <c r="AE359" s="3">
        <f t="shared" si="8"/>
        <v>1</v>
      </c>
      <c r="AF359" s="43">
        <f t="shared" si="9"/>
        <v>2046.14</v>
      </c>
      <c r="AG359" s="44">
        <f t="shared" si="10"/>
        <v>68350.92</v>
      </c>
      <c r="AH359" s="45">
        <f t="shared" si="11"/>
        <v>5.1</v>
      </c>
      <c r="AI359" s="46">
        <f t="shared" si="12"/>
        <v>0.01479134781</v>
      </c>
      <c r="AJ359" s="47">
        <f t="shared" si="13"/>
        <v>0</v>
      </c>
      <c r="AK359" s="5"/>
      <c r="AL359" s="42">
        <f t="shared" si="14"/>
        <v>0</v>
      </c>
      <c r="AM359" s="3">
        <f t="shared" si="15"/>
        <v>1</v>
      </c>
      <c r="AN359" s="3">
        <f t="shared" si="16"/>
        <v>0</v>
      </c>
      <c r="AO359" s="3">
        <f t="shared" si="17"/>
        <v>0</v>
      </c>
      <c r="AP359" s="44">
        <f t="shared" si="18"/>
        <v>0</v>
      </c>
      <c r="AQ359" s="48">
        <f t="shared" si="19"/>
        <v>0</v>
      </c>
      <c r="AR359" s="46">
        <f t="shared" si="20"/>
        <v>0</v>
      </c>
      <c r="AS359" s="47">
        <f t="shared" si="21"/>
        <v>0</v>
      </c>
      <c r="AT359" s="5"/>
      <c r="AU359" s="49">
        <f t="shared" si="27"/>
        <v>68350.92</v>
      </c>
      <c r="AV359" s="50">
        <f t="shared" si="23"/>
        <v>1</v>
      </c>
      <c r="AW359" s="51">
        <f t="shared" si="24"/>
        <v>0.006631624039</v>
      </c>
      <c r="AX359" s="52">
        <f t="shared" si="25"/>
        <v>0</v>
      </c>
      <c r="AY359" s="5"/>
      <c r="AZ359" s="53">
        <f t="shared" si="26"/>
        <v>1</v>
      </c>
      <c r="BA359" s="5"/>
      <c r="BB359" s="5"/>
      <c r="BC359" s="5"/>
    </row>
    <row r="360" ht="12.75" customHeight="1">
      <c r="A360" s="25"/>
      <c r="B360" s="27" t="s">
        <v>635</v>
      </c>
      <c r="C360" s="113">
        <v>16916.0</v>
      </c>
      <c r="D360" s="28">
        <v>15021.51</v>
      </c>
      <c r="E360" s="29" t="s">
        <v>39</v>
      </c>
      <c r="F360" s="30">
        <v>43281.0</v>
      </c>
      <c r="G360" s="30" t="s">
        <v>40</v>
      </c>
      <c r="H360" s="30">
        <v>43496.0</v>
      </c>
      <c r="I360" s="32">
        <f t="shared" si="1"/>
        <v>7.166666667</v>
      </c>
      <c r="J360" s="33" t="s">
        <v>636</v>
      </c>
      <c r="K360" s="34">
        <v>15000.0</v>
      </c>
      <c r="L360" s="115">
        <v>712.61</v>
      </c>
      <c r="M360" s="35">
        <v>1332.19</v>
      </c>
      <c r="N360" s="35">
        <v>0.0</v>
      </c>
      <c r="O360" s="35">
        <f t="shared" si="65"/>
        <v>21.51</v>
      </c>
      <c r="P360" s="35">
        <f t="shared" si="3"/>
        <v>2066.31</v>
      </c>
      <c r="Q360" s="36">
        <f t="shared" si="4"/>
        <v>0.1375567436</v>
      </c>
      <c r="R360" s="36">
        <f t="shared" si="5"/>
        <v>0.8624432564</v>
      </c>
      <c r="S360" s="37"/>
      <c r="T360" s="5"/>
      <c r="U360" s="54">
        <f>13.6+8.6</f>
        <v>22.2</v>
      </c>
      <c r="V360" s="55">
        <f>1167.46+117.85</f>
        <v>1285.31</v>
      </c>
      <c r="W360" s="55">
        <f t="shared" si="62"/>
        <v>1307.51</v>
      </c>
      <c r="X360" s="56">
        <v>0.0932</v>
      </c>
      <c r="Y360" s="55">
        <f t="shared" si="63"/>
        <v>690.4132925</v>
      </c>
      <c r="Z360" s="55">
        <f t="shared" si="43"/>
        <v>690.4132925</v>
      </c>
      <c r="AA360" s="57">
        <f t="shared" si="44"/>
        <v>712.6132925</v>
      </c>
      <c r="AB360" s="5"/>
      <c r="AC360" s="42">
        <f t="shared" si="6"/>
        <v>0</v>
      </c>
      <c r="AD360" s="3">
        <f t="shared" si="7"/>
        <v>1</v>
      </c>
      <c r="AE360" s="3">
        <f t="shared" si="8"/>
        <v>0</v>
      </c>
      <c r="AF360" s="43">
        <f t="shared" si="9"/>
        <v>0</v>
      </c>
      <c r="AG360" s="44">
        <f t="shared" si="10"/>
        <v>0</v>
      </c>
      <c r="AH360" s="45">
        <f t="shared" si="11"/>
        <v>0</v>
      </c>
      <c r="AI360" s="46">
        <f t="shared" si="12"/>
        <v>0</v>
      </c>
      <c r="AJ360" s="47">
        <f t="shared" si="13"/>
        <v>0</v>
      </c>
      <c r="AK360" s="5"/>
      <c r="AL360" s="42">
        <f t="shared" si="14"/>
        <v>1</v>
      </c>
      <c r="AM360" s="3">
        <f t="shared" si="15"/>
        <v>1</v>
      </c>
      <c r="AN360" s="3">
        <f t="shared" si="16"/>
        <v>1</v>
      </c>
      <c r="AO360" s="3">
        <f t="shared" si="17"/>
        <v>1332.19</v>
      </c>
      <c r="AP360" s="44">
        <f t="shared" si="18"/>
        <v>15021.51</v>
      </c>
      <c r="AQ360" s="48">
        <f t="shared" si="19"/>
        <v>7.166666667</v>
      </c>
      <c r="AR360" s="46">
        <f t="shared" si="20"/>
        <v>0.002635098627</v>
      </c>
      <c r="AS360" s="47">
        <f t="shared" si="21"/>
        <v>0.0003624755862</v>
      </c>
      <c r="AT360" s="5"/>
      <c r="AU360" s="49">
        <f t="shared" si="27"/>
        <v>15021.51</v>
      </c>
      <c r="AV360" s="50">
        <f t="shared" si="23"/>
        <v>1</v>
      </c>
      <c r="AW360" s="51">
        <f t="shared" si="24"/>
        <v>0.001457434762</v>
      </c>
      <c r="AX360" s="52">
        <f t="shared" si="25"/>
        <v>0.0002004799799</v>
      </c>
      <c r="AY360" s="5"/>
      <c r="AZ360" s="53">
        <f t="shared" si="26"/>
        <v>1</v>
      </c>
      <c r="BA360" s="5"/>
      <c r="BB360" s="5"/>
      <c r="BC360" s="5"/>
    </row>
    <row r="361" ht="12.75" customHeight="1">
      <c r="A361" s="25"/>
      <c r="B361" s="27" t="s">
        <v>637</v>
      </c>
      <c r="C361" s="113">
        <v>25200.0</v>
      </c>
      <c r="D361" s="28">
        <v>22238.11</v>
      </c>
      <c r="E361" s="29" t="s">
        <v>39</v>
      </c>
      <c r="F361" s="30">
        <v>43312.0</v>
      </c>
      <c r="G361" s="30" t="s">
        <v>40</v>
      </c>
      <c r="H361" s="30">
        <v>43373.0</v>
      </c>
      <c r="I361" s="32">
        <f t="shared" si="1"/>
        <v>2.033333333</v>
      </c>
      <c r="J361" s="33" t="s">
        <v>638</v>
      </c>
      <c r="K361" s="34">
        <v>20000.0</v>
      </c>
      <c r="L361" s="115">
        <v>2430.2</v>
      </c>
      <c r="M361" s="35">
        <v>2958.61</v>
      </c>
      <c r="N361" s="35">
        <v>47.33</v>
      </c>
      <c r="O361" s="35">
        <f t="shared" si="65"/>
        <v>2238.11</v>
      </c>
      <c r="P361" s="35">
        <f t="shared" si="3"/>
        <v>7674.25</v>
      </c>
      <c r="Q361" s="36">
        <f t="shared" si="4"/>
        <v>0.3450945247</v>
      </c>
      <c r="R361" s="36">
        <f t="shared" si="5"/>
        <v>0.6549054753</v>
      </c>
      <c r="S361" s="37"/>
      <c r="T361" s="5"/>
      <c r="U361" s="54">
        <v>1502.41</v>
      </c>
      <c r="V361" s="55">
        <v>5488.8</v>
      </c>
      <c r="W361" s="55">
        <f t="shared" si="62"/>
        <v>6991.21</v>
      </c>
      <c r="X361" s="56">
        <v>0.0846</v>
      </c>
      <c r="Y361" s="55">
        <f t="shared" si="63"/>
        <v>927.7861345</v>
      </c>
      <c r="Z361" s="55">
        <f t="shared" si="43"/>
        <v>927.7861345</v>
      </c>
      <c r="AA361" s="57">
        <f t="shared" si="44"/>
        <v>2430.196134</v>
      </c>
      <c r="AB361" s="5"/>
      <c r="AC361" s="42">
        <f t="shared" si="6"/>
        <v>0</v>
      </c>
      <c r="AD361" s="3">
        <f t="shared" si="7"/>
        <v>1</v>
      </c>
      <c r="AE361" s="3">
        <f t="shared" si="8"/>
        <v>0</v>
      </c>
      <c r="AF361" s="43">
        <f t="shared" si="9"/>
        <v>0</v>
      </c>
      <c r="AG361" s="44">
        <f t="shared" si="10"/>
        <v>0</v>
      </c>
      <c r="AH361" s="45">
        <f t="shared" si="11"/>
        <v>0</v>
      </c>
      <c r="AI361" s="46">
        <f t="shared" si="12"/>
        <v>0</v>
      </c>
      <c r="AJ361" s="47">
        <f t="shared" si="13"/>
        <v>0</v>
      </c>
      <c r="AK361" s="5"/>
      <c r="AL361" s="42">
        <f t="shared" si="14"/>
        <v>1</v>
      </c>
      <c r="AM361" s="3">
        <f t="shared" si="15"/>
        <v>1</v>
      </c>
      <c r="AN361" s="3">
        <f t="shared" si="16"/>
        <v>1</v>
      </c>
      <c r="AO361" s="3">
        <f t="shared" si="17"/>
        <v>3005.94</v>
      </c>
      <c r="AP361" s="44">
        <f t="shared" si="18"/>
        <v>22238.11</v>
      </c>
      <c r="AQ361" s="48">
        <f t="shared" si="19"/>
        <v>2.033333333</v>
      </c>
      <c r="AR361" s="46">
        <f t="shared" si="20"/>
        <v>0.003901046773</v>
      </c>
      <c r="AS361" s="47">
        <f t="shared" si="21"/>
        <v>0.001346229882</v>
      </c>
      <c r="AT361" s="5"/>
      <c r="AU361" s="49">
        <f t="shared" si="27"/>
        <v>22238.11</v>
      </c>
      <c r="AV361" s="50">
        <f t="shared" si="23"/>
        <v>1</v>
      </c>
      <c r="AW361" s="51">
        <f t="shared" si="24"/>
        <v>0.002157612288</v>
      </c>
      <c r="AX361" s="52">
        <f t="shared" si="25"/>
        <v>0.0007445801868</v>
      </c>
      <c r="AY361" s="5"/>
      <c r="AZ361" s="53">
        <f t="shared" si="26"/>
        <v>1</v>
      </c>
      <c r="BA361" s="5"/>
      <c r="BB361" s="5"/>
      <c r="BC361" s="5"/>
    </row>
    <row r="362" ht="12.75" customHeight="1">
      <c r="A362" s="25"/>
      <c r="B362" s="27" t="s">
        <v>639</v>
      </c>
      <c r="C362" s="113">
        <v>14910.08</v>
      </c>
      <c r="D362" s="28">
        <v>14829.6</v>
      </c>
      <c r="E362" s="29" t="s">
        <v>39</v>
      </c>
      <c r="F362" s="30">
        <v>43312.0</v>
      </c>
      <c r="G362" s="30" t="s">
        <v>40</v>
      </c>
      <c r="H362" s="30">
        <v>43404.0</v>
      </c>
      <c r="I362" s="32">
        <f t="shared" si="1"/>
        <v>3.066666667</v>
      </c>
      <c r="J362" s="33" t="s">
        <v>640</v>
      </c>
      <c r="K362" s="34">
        <v>15000.0</v>
      </c>
      <c r="L362" s="115">
        <v>1298.49</v>
      </c>
      <c r="M362" s="35">
        <v>3639.57</v>
      </c>
      <c r="N362" s="35">
        <v>122.53</v>
      </c>
      <c r="O362" s="35">
        <f t="shared" si="65"/>
        <v>0</v>
      </c>
      <c r="P362" s="35">
        <f t="shared" si="3"/>
        <v>4890.19</v>
      </c>
      <c r="Q362" s="36">
        <f t="shared" si="4"/>
        <v>0.3297587258</v>
      </c>
      <c r="R362" s="36">
        <f t="shared" si="5"/>
        <v>0.6702412742</v>
      </c>
      <c r="S362" s="37"/>
      <c r="T362" s="5"/>
      <c r="U362" s="54">
        <v>676.87</v>
      </c>
      <c r="V362" s="55">
        <v>1266.46</v>
      </c>
      <c r="W362" s="55">
        <f t="shared" si="62"/>
        <v>1943.33</v>
      </c>
      <c r="X362" s="56">
        <v>0.085</v>
      </c>
      <c r="Y362" s="55">
        <f t="shared" si="63"/>
        <v>621.6243288</v>
      </c>
      <c r="Z362" s="55">
        <f t="shared" si="43"/>
        <v>621.6243288</v>
      </c>
      <c r="AA362" s="57">
        <f t="shared" si="44"/>
        <v>1298.494329</v>
      </c>
      <c r="AB362" s="5"/>
      <c r="AC362" s="42">
        <f t="shared" si="6"/>
        <v>0</v>
      </c>
      <c r="AD362" s="3">
        <f t="shared" si="7"/>
        <v>1</v>
      </c>
      <c r="AE362" s="3">
        <f t="shared" si="8"/>
        <v>0</v>
      </c>
      <c r="AF362" s="43">
        <f t="shared" si="9"/>
        <v>0</v>
      </c>
      <c r="AG362" s="44">
        <f t="shared" si="10"/>
        <v>0</v>
      </c>
      <c r="AH362" s="45">
        <f t="shared" si="11"/>
        <v>0</v>
      </c>
      <c r="AI362" s="46">
        <f t="shared" si="12"/>
        <v>0</v>
      </c>
      <c r="AJ362" s="47">
        <f t="shared" si="13"/>
        <v>0</v>
      </c>
      <c r="AK362" s="5"/>
      <c r="AL362" s="42">
        <f t="shared" si="14"/>
        <v>1</v>
      </c>
      <c r="AM362" s="3">
        <f t="shared" si="15"/>
        <v>1</v>
      </c>
      <c r="AN362" s="3">
        <f t="shared" si="16"/>
        <v>1</v>
      </c>
      <c r="AO362" s="3">
        <f t="shared" si="17"/>
        <v>3762.1</v>
      </c>
      <c r="AP362" s="44">
        <f t="shared" si="18"/>
        <v>14829.6</v>
      </c>
      <c r="AQ362" s="48">
        <f t="shared" si="19"/>
        <v>3.066666667</v>
      </c>
      <c r="AR362" s="46">
        <f t="shared" si="20"/>
        <v>0.002601433451</v>
      </c>
      <c r="AS362" s="47">
        <f t="shared" si="21"/>
        <v>0.0008578453799</v>
      </c>
      <c r="AT362" s="5"/>
      <c r="AU362" s="49">
        <f t="shared" si="27"/>
        <v>14829.6</v>
      </c>
      <c r="AV362" s="50">
        <f t="shared" si="23"/>
        <v>1</v>
      </c>
      <c r="AW362" s="51">
        <f t="shared" si="24"/>
        <v>0.001438815042</v>
      </c>
      <c r="AX362" s="52">
        <f t="shared" si="25"/>
        <v>0.000474461815</v>
      </c>
      <c r="AY362" s="5"/>
      <c r="AZ362" s="53">
        <f t="shared" si="26"/>
        <v>1</v>
      </c>
      <c r="BA362" s="5"/>
      <c r="BB362" s="5"/>
      <c r="BC362" s="5"/>
    </row>
    <row r="363" ht="12.75" customHeight="1">
      <c r="A363" s="25"/>
      <c r="B363" s="27" t="s">
        <v>641</v>
      </c>
      <c r="C363" s="113">
        <v>35307.96</v>
      </c>
      <c r="D363" s="28">
        <v>31690.25</v>
      </c>
      <c r="E363" s="29" t="s">
        <v>39</v>
      </c>
      <c r="F363" s="30">
        <v>43312.0</v>
      </c>
      <c r="G363" s="30" t="s">
        <v>40</v>
      </c>
      <c r="H363" s="30">
        <v>43404.0</v>
      </c>
      <c r="I363" s="32">
        <f t="shared" si="1"/>
        <v>3.066666667</v>
      </c>
      <c r="J363" s="33" t="s">
        <v>642</v>
      </c>
      <c r="K363" s="34">
        <v>35000.0</v>
      </c>
      <c r="L363" s="115">
        <v>3111.98</v>
      </c>
      <c r="M363" s="35">
        <v>4337.6</v>
      </c>
      <c r="N363" s="35">
        <v>0.0</v>
      </c>
      <c r="O363" s="35">
        <f t="shared" si="65"/>
        <v>0</v>
      </c>
      <c r="P363" s="35">
        <f t="shared" si="3"/>
        <v>4139.83</v>
      </c>
      <c r="Q363" s="36">
        <f t="shared" si="4"/>
        <v>0.1306341856</v>
      </c>
      <c r="R363" s="36">
        <f t="shared" si="5"/>
        <v>0.8693658144</v>
      </c>
      <c r="S363" s="37"/>
      <c r="T363" s="5"/>
      <c r="U363" s="54">
        <v>1900.8</v>
      </c>
      <c r="V363" s="55">
        <v>6346.03</v>
      </c>
      <c r="W363" s="55">
        <f t="shared" si="62"/>
        <v>8246.83</v>
      </c>
      <c r="X363" s="56">
        <v>0.0775</v>
      </c>
      <c r="Y363" s="55">
        <f t="shared" si="63"/>
        <v>1211.175308</v>
      </c>
      <c r="Z363" s="55">
        <f t="shared" si="43"/>
        <v>1211.175308</v>
      </c>
      <c r="AA363" s="57">
        <f t="shared" si="44"/>
        <v>3111.975308</v>
      </c>
      <c r="AB363" s="5"/>
      <c r="AC363" s="42">
        <f t="shared" si="6"/>
        <v>0</v>
      </c>
      <c r="AD363" s="3">
        <f t="shared" si="7"/>
        <v>1</v>
      </c>
      <c r="AE363" s="3">
        <f t="shared" si="8"/>
        <v>0</v>
      </c>
      <c r="AF363" s="43">
        <f t="shared" si="9"/>
        <v>0</v>
      </c>
      <c r="AG363" s="44">
        <f t="shared" si="10"/>
        <v>0</v>
      </c>
      <c r="AH363" s="45">
        <f t="shared" si="11"/>
        <v>0</v>
      </c>
      <c r="AI363" s="46">
        <f t="shared" si="12"/>
        <v>0</v>
      </c>
      <c r="AJ363" s="47">
        <f t="shared" si="13"/>
        <v>0</v>
      </c>
      <c r="AK363" s="5"/>
      <c r="AL363" s="42">
        <f t="shared" si="14"/>
        <v>1</v>
      </c>
      <c r="AM363" s="3">
        <f t="shared" si="15"/>
        <v>1</v>
      </c>
      <c r="AN363" s="3">
        <f t="shared" si="16"/>
        <v>1</v>
      </c>
      <c r="AO363" s="3">
        <f t="shared" si="17"/>
        <v>4337.6</v>
      </c>
      <c r="AP363" s="44">
        <f t="shared" si="18"/>
        <v>31690.25</v>
      </c>
      <c r="AQ363" s="48">
        <f t="shared" si="19"/>
        <v>3.066666667</v>
      </c>
      <c r="AR363" s="46">
        <f t="shared" si="20"/>
        <v>0.005559157119</v>
      </c>
      <c r="AS363" s="47">
        <f t="shared" si="21"/>
        <v>0.0007262159628</v>
      </c>
      <c r="AT363" s="5"/>
      <c r="AU363" s="49">
        <f t="shared" si="27"/>
        <v>31690.25</v>
      </c>
      <c r="AV363" s="50">
        <f t="shared" si="23"/>
        <v>1</v>
      </c>
      <c r="AW363" s="51">
        <f t="shared" si="24"/>
        <v>0.003074689027</v>
      </c>
      <c r="AX363" s="52">
        <f t="shared" si="25"/>
        <v>0.000401659497</v>
      </c>
      <c r="AY363" s="5"/>
      <c r="AZ363" s="53">
        <f t="shared" si="26"/>
        <v>1</v>
      </c>
      <c r="BA363" s="5"/>
      <c r="BB363" s="5"/>
      <c r="BC363" s="5"/>
    </row>
    <row r="364" ht="12.75" customHeight="1">
      <c r="A364" s="25"/>
      <c r="B364" s="27" t="s">
        <v>643</v>
      </c>
      <c r="C364" s="113">
        <v>12988.1</v>
      </c>
      <c r="D364" s="28">
        <v>11928.51</v>
      </c>
      <c r="E364" s="29" t="s">
        <v>39</v>
      </c>
      <c r="F364" s="30">
        <v>43312.0</v>
      </c>
      <c r="G364" s="30" t="s">
        <v>40</v>
      </c>
      <c r="H364" s="30">
        <v>43404.0</v>
      </c>
      <c r="I364" s="32">
        <f t="shared" si="1"/>
        <v>3.066666667</v>
      </c>
      <c r="J364" s="33" t="s">
        <v>644</v>
      </c>
      <c r="K364" s="34">
        <v>18000.0</v>
      </c>
      <c r="L364" s="115">
        <v>1005.89</v>
      </c>
      <c r="M364" s="35">
        <v>3479.84</v>
      </c>
      <c r="N364" s="35">
        <v>30.98</v>
      </c>
      <c r="O364" s="35">
        <f t="shared" si="65"/>
        <v>0</v>
      </c>
      <c r="P364" s="35">
        <f t="shared" si="3"/>
        <v>0</v>
      </c>
      <c r="Q364" s="36">
        <f t="shared" si="4"/>
        <v>0</v>
      </c>
      <c r="R364" s="36">
        <f t="shared" si="5"/>
        <v>1</v>
      </c>
      <c r="S364" s="37"/>
      <c r="T364" s="5"/>
      <c r="U364" s="54">
        <v>447.64</v>
      </c>
      <c r="V364" s="55">
        <v>2274.39</v>
      </c>
      <c r="W364" s="55">
        <f t="shared" si="62"/>
        <v>2722.03</v>
      </c>
      <c r="X364" s="56">
        <v>0.0949</v>
      </c>
      <c r="Y364" s="55">
        <f t="shared" si="63"/>
        <v>558.254268</v>
      </c>
      <c r="Z364" s="55">
        <f t="shared" si="43"/>
        <v>558.254268</v>
      </c>
      <c r="AA364" s="57">
        <f t="shared" si="44"/>
        <v>1005.894268</v>
      </c>
      <c r="AB364" s="5"/>
      <c r="AC364" s="42">
        <f t="shared" si="6"/>
        <v>0</v>
      </c>
      <c r="AD364" s="3">
        <f t="shared" si="7"/>
        <v>1</v>
      </c>
      <c r="AE364" s="3">
        <f t="shared" si="8"/>
        <v>0</v>
      </c>
      <c r="AF364" s="43">
        <f t="shared" si="9"/>
        <v>0</v>
      </c>
      <c r="AG364" s="44">
        <f t="shared" si="10"/>
        <v>0</v>
      </c>
      <c r="AH364" s="45">
        <f t="shared" si="11"/>
        <v>0</v>
      </c>
      <c r="AI364" s="46">
        <f t="shared" si="12"/>
        <v>0</v>
      </c>
      <c r="AJ364" s="47">
        <f t="shared" si="13"/>
        <v>0</v>
      </c>
      <c r="AK364" s="5"/>
      <c r="AL364" s="42">
        <f t="shared" si="14"/>
        <v>1</v>
      </c>
      <c r="AM364" s="3">
        <f t="shared" si="15"/>
        <v>1</v>
      </c>
      <c r="AN364" s="3">
        <f t="shared" si="16"/>
        <v>1</v>
      </c>
      <c r="AO364" s="3">
        <f t="shared" si="17"/>
        <v>3510.82</v>
      </c>
      <c r="AP364" s="44">
        <f t="shared" si="18"/>
        <v>11928.51</v>
      </c>
      <c r="AQ364" s="48">
        <f t="shared" si="19"/>
        <v>3.066666667</v>
      </c>
      <c r="AR364" s="46">
        <f t="shared" si="20"/>
        <v>0.002092519348</v>
      </c>
      <c r="AS364" s="47">
        <f t="shared" si="21"/>
        <v>0</v>
      </c>
      <c r="AT364" s="5"/>
      <c r="AU364" s="49">
        <f t="shared" si="27"/>
        <v>11928.51</v>
      </c>
      <c r="AV364" s="50">
        <f t="shared" si="23"/>
        <v>1</v>
      </c>
      <c r="AW364" s="51">
        <f t="shared" si="24"/>
        <v>0.001157342047</v>
      </c>
      <c r="AX364" s="52">
        <f t="shared" si="25"/>
        <v>0</v>
      </c>
      <c r="AY364" s="5"/>
      <c r="AZ364" s="53">
        <f t="shared" si="26"/>
        <v>1</v>
      </c>
      <c r="BA364" s="5"/>
      <c r="BB364" s="5"/>
      <c r="BC364" s="5"/>
    </row>
    <row r="365" ht="12.75" customHeight="1">
      <c r="A365" s="25"/>
      <c r="B365" s="27" t="s">
        <v>423</v>
      </c>
      <c r="C365" s="113">
        <v>17460.0</v>
      </c>
      <c r="D365" s="28">
        <v>17311.98</v>
      </c>
      <c r="E365" s="29" t="s">
        <v>39</v>
      </c>
      <c r="F365" s="30">
        <v>43373.0</v>
      </c>
      <c r="G365" s="30" t="s">
        <v>40</v>
      </c>
      <c r="H365" s="30">
        <v>43404.0</v>
      </c>
      <c r="I365" s="32">
        <f t="shared" si="1"/>
        <v>1.033333333</v>
      </c>
      <c r="J365" s="33" t="s">
        <v>645</v>
      </c>
      <c r="K365" s="34">
        <v>19000.0</v>
      </c>
      <c r="L365" s="115">
        <v>787.24</v>
      </c>
      <c r="M365" s="35">
        <v>3413.71</v>
      </c>
      <c r="N365" s="35">
        <v>281.74</v>
      </c>
      <c r="O365" s="35">
        <f t="shared" si="65"/>
        <v>0</v>
      </c>
      <c r="P365" s="35">
        <f t="shared" si="3"/>
        <v>2794.67</v>
      </c>
      <c r="Q365" s="36">
        <f t="shared" si="4"/>
        <v>0.1614298307</v>
      </c>
      <c r="R365" s="36">
        <f t="shared" si="5"/>
        <v>0.8385701693</v>
      </c>
      <c r="S365" s="37"/>
      <c r="T365" s="5"/>
      <c r="U365" s="54">
        <v>210.96</v>
      </c>
      <c r="V365" s="55">
        <v>2921.09</v>
      </c>
      <c r="W365" s="55">
        <f t="shared" si="62"/>
        <v>3132.05</v>
      </c>
      <c r="X365" s="56">
        <v>0.0675</v>
      </c>
      <c r="Y365" s="55">
        <f t="shared" si="63"/>
        <v>576.2754986</v>
      </c>
      <c r="Z365" s="55">
        <f t="shared" si="43"/>
        <v>576.2754986</v>
      </c>
      <c r="AA365" s="57">
        <f t="shared" si="44"/>
        <v>787.2354986</v>
      </c>
      <c r="AB365" s="5"/>
      <c r="AC365" s="42">
        <f t="shared" si="6"/>
        <v>0</v>
      </c>
      <c r="AD365" s="3">
        <f t="shared" si="7"/>
        <v>1</v>
      </c>
      <c r="AE365" s="3">
        <f t="shared" si="8"/>
        <v>0</v>
      </c>
      <c r="AF365" s="43">
        <f t="shared" si="9"/>
        <v>0</v>
      </c>
      <c r="AG365" s="44">
        <f t="shared" si="10"/>
        <v>0</v>
      </c>
      <c r="AH365" s="45">
        <f t="shared" si="11"/>
        <v>0</v>
      </c>
      <c r="AI365" s="46">
        <f t="shared" si="12"/>
        <v>0</v>
      </c>
      <c r="AJ365" s="47">
        <f t="shared" si="13"/>
        <v>0</v>
      </c>
      <c r="AK365" s="5"/>
      <c r="AL365" s="42">
        <f t="shared" si="14"/>
        <v>1</v>
      </c>
      <c r="AM365" s="3">
        <f t="shared" si="15"/>
        <v>1</v>
      </c>
      <c r="AN365" s="3">
        <f t="shared" si="16"/>
        <v>1</v>
      </c>
      <c r="AO365" s="3">
        <f t="shared" si="17"/>
        <v>3695.45</v>
      </c>
      <c r="AP365" s="44">
        <f t="shared" si="18"/>
        <v>17311.98</v>
      </c>
      <c r="AQ365" s="48">
        <f t="shared" si="19"/>
        <v>1.033333333</v>
      </c>
      <c r="AR365" s="46">
        <f t="shared" si="20"/>
        <v>0.003036896738</v>
      </c>
      <c r="AS365" s="47">
        <f t="shared" si="21"/>
        <v>0.0004902457262</v>
      </c>
      <c r="AT365" s="5"/>
      <c r="AU365" s="49">
        <f t="shared" si="27"/>
        <v>17311.98</v>
      </c>
      <c r="AV365" s="50">
        <f t="shared" si="23"/>
        <v>1</v>
      </c>
      <c r="AW365" s="51">
        <f t="shared" si="24"/>
        <v>0.001679663459</v>
      </c>
      <c r="AX365" s="52">
        <f t="shared" si="25"/>
        <v>0.0002711477878</v>
      </c>
      <c r="AY365" s="5"/>
      <c r="AZ365" s="53">
        <f t="shared" si="26"/>
        <v>1</v>
      </c>
      <c r="BA365" s="5"/>
      <c r="BB365" s="5"/>
      <c r="BC365" s="5"/>
    </row>
    <row r="366" ht="12.75" customHeight="1">
      <c r="A366" s="25"/>
      <c r="B366" s="27" t="s">
        <v>646</v>
      </c>
      <c r="C366" s="113">
        <v>11520.0</v>
      </c>
      <c r="D366" s="28">
        <v>8605.39</v>
      </c>
      <c r="E366" s="29" t="s">
        <v>39</v>
      </c>
      <c r="F366" s="30">
        <v>43373.0</v>
      </c>
      <c r="G366" s="30" t="s">
        <v>40</v>
      </c>
      <c r="H366" s="30">
        <v>43404.0</v>
      </c>
      <c r="I366" s="32">
        <f t="shared" si="1"/>
        <v>1.033333333</v>
      </c>
      <c r="J366" s="33" t="s">
        <v>647</v>
      </c>
      <c r="K366" s="34">
        <v>12500.0</v>
      </c>
      <c r="L366" s="115">
        <v>598.96</v>
      </c>
      <c r="M366" s="35">
        <v>1766.5400000000002</v>
      </c>
      <c r="N366" s="35">
        <v>0.0</v>
      </c>
      <c r="O366" s="35">
        <f t="shared" si="65"/>
        <v>0</v>
      </c>
      <c r="P366" s="35">
        <f t="shared" si="3"/>
        <v>0</v>
      </c>
      <c r="Q366" s="36">
        <f t="shared" si="4"/>
        <v>0</v>
      </c>
      <c r="R366" s="36">
        <f t="shared" si="5"/>
        <v>1</v>
      </c>
      <c r="S366" s="37"/>
      <c r="T366" s="5"/>
      <c r="U366" s="54">
        <v>163.98</v>
      </c>
      <c r="V366" s="55">
        <v>1009.48</v>
      </c>
      <c r="W366" s="55">
        <f t="shared" si="62"/>
        <v>1173.46</v>
      </c>
      <c r="X366" s="56">
        <v>0.1025</v>
      </c>
      <c r="Y366" s="55">
        <f t="shared" si="63"/>
        <v>434.9847822</v>
      </c>
      <c r="Z366" s="55">
        <f t="shared" si="43"/>
        <v>434.9847822</v>
      </c>
      <c r="AA366" s="57">
        <f t="shared" si="44"/>
        <v>598.9647822</v>
      </c>
      <c r="AB366" s="5"/>
      <c r="AC366" s="42">
        <f t="shared" si="6"/>
        <v>0</v>
      </c>
      <c r="AD366" s="3">
        <f t="shared" si="7"/>
        <v>1</v>
      </c>
      <c r="AE366" s="3">
        <f t="shared" si="8"/>
        <v>0</v>
      </c>
      <c r="AF366" s="43">
        <f t="shared" si="9"/>
        <v>0</v>
      </c>
      <c r="AG366" s="44">
        <f t="shared" si="10"/>
        <v>0</v>
      </c>
      <c r="AH366" s="45">
        <f t="shared" si="11"/>
        <v>0</v>
      </c>
      <c r="AI366" s="46">
        <f t="shared" si="12"/>
        <v>0</v>
      </c>
      <c r="AJ366" s="47">
        <f t="shared" si="13"/>
        <v>0</v>
      </c>
      <c r="AK366" s="5"/>
      <c r="AL366" s="42">
        <f t="shared" si="14"/>
        <v>1</v>
      </c>
      <c r="AM366" s="3">
        <f t="shared" si="15"/>
        <v>1</v>
      </c>
      <c r="AN366" s="3">
        <f t="shared" si="16"/>
        <v>1</v>
      </c>
      <c r="AO366" s="3">
        <f t="shared" si="17"/>
        <v>1766.54</v>
      </c>
      <c r="AP366" s="44">
        <f t="shared" si="18"/>
        <v>8605.39</v>
      </c>
      <c r="AQ366" s="48">
        <f t="shared" si="19"/>
        <v>1.033333333</v>
      </c>
      <c r="AR366" s="46">
        <f t="shared" si="20"/>
        <v>0.001509572032</v>
      </c>
      <c r="AS366" s="47">
        <f t="shared" si="21"/>
        <v>0</v>
      </c>
      <c r="AT366" s="5"/>
      <c r="AU366" s="49">
        <f t="shared" si="27"/>
        <v>8605.39</v>
      </c>
      <c r="AV366" s="50">
        <f t="shared" si="23"/>
        <v>1</v>
      </c>
      <c r="AW366" s="51">
        <f t="shared" si="24"/>
        <v>0.0008349223564</v>
      </c>
      <c r="AX366" s="52">
        <f t="shared" si="25"/>
        <v>0</v>
      </c>
      <c r="AY366" s="5"/>
      <c r="AZ366" s="53">
        <f t="shared" si="26"/>
        <v>1</v>
      </c>
      <c r="BA366" s="5"/>
      <c r="BB366" s="5"/>
      <c r="BC366" s="5"/>
    </row>
    <row r="367" ht="12.75" customHeight="1">
      <c r="A367" s="25"/>
      <c r="B367" s="27" t="s">
        <v>648</v>
      </c>
      <c r="C367" s="113">
        <v>34033.12</v>
      </c>
      <c r="D367" s="28">
        <v>33429.06</v>
      </c>
      <c r="E367" s="29" t="s">
        <v>49</v>
      </c>
      <c r="F367" s="30">
        <v>43434.0</v>
      </c>
      <c r="G367" s="30" t="s">
        <v>40</v>
      </c>
      <c r="H367" s="30">
        <v>43496.0</v>
      </c>
      <c r="I367" s="32">
        <f t="shared" si="1"/>
        <v>2.066666667</v>
      </c>
      <c r="J367" s="33" t="s">
        <v>649</v>
      </c>
      <c r="K367" s="34">
        <v>33500.0</v>
      </c>
      <c r="L367" s="115">
        <v>2110.66</v>
      </c>
      <c r="M367" s="35">
        <v>3785.44</v>
      </c>
      <c r="N367" s="35">
        <v>164.08</v>
      </c>
      <c r="O367" s="35">
        <f t="shared" si="65"/>
        <v>0</v>
      </c>
      <c r="P367" s="35">
        <f t="shared" si="3"/>
        <v>5989.24</v>
      </c>
      <c r="Q367" s="36">
        <f t="shared" si="4"/>
        <v>0.1791626806</v>
      </c>
      <c r="R367" s="36">
        <f t="shared" si="5"/>
        <v>0.8208373194</v>
      </c>
      <c r="S367" s="37"/>
      <c r="T367" s="5"/>
      <c r="U367" s="54">
        <v>898.97</v>
      </c>
      <c r="V367" s="55">
        <v>5963.52</v>
      </c>
      <c r="W367" s="55">
        <f t="shared" si="62"/>
        <v>6862.49</v>
      </c>
      <c r="X367" s="56">
        <v>0.0735</v>
      </c>
      <c r="Y367" s="55">
        <f t="shared" si="63"/>
        <v>1211.688942</v>
      </c>
      <c r="Z367" s="55">
        <f t="shared" si="43"/>
        <v>1211.688942</v>
      </c>
      <c r="AA367" s="57">
        <f t="shared" si="44"/>
        <v>2110.658942</v>
      </c>
      <c r="AB367" s="5"/>
      <c r="AC367" s="42">
        <f t="shared" si="6"/>
        <v>1</v>
      </c>
      <c r="AD367" s="3">
        <f t="shared" si="7"/>
        <v>1</v>
      </c>
      <c r="AE367" s="3">
        <f t="shared" si="8"/>
        <v>1</v>
      </c>
      <c r="AF367" s="43">
        <f t="shared" si="9"/>
        <v>3949.52</v>
      </c>
      <c r="AG367" s="44">
        <f t="shared" si="10"/>
        <v>33429.06</v>
      </c>
      <c r="AH367" s="45">
        <f t="shared" si="11"/>
        <v>2.066666667</v>
      </c>
      <c r="AI367" s="46">
        <f t="shared" si="12"/>
        <v>0.007234150666</v>
      </c>
      <c r="AJ367" s="47">
        <f t="shared" si="13"/>
        <v>0.001296089825</v>
      </c>
      <c r="AK367" s="5"/>
      <c r="AL367" s="42">
        <f t="shared" si="14"/>
        <v>0</v>
      </c>
      <c r="AM367" s="3">
        <f t="shared" si="15"/>
        <v>1</v>
      </c>
      <c r="AN367" s="3">
        <f t="shared" si="16"/>
        <v>0</v>
      </c>
      <c r="AO367" s="3">
        <f t="shared" si="17"/>
        <v>0</v>
      </c>
      <c r="AP367" s="44">
        <f t="shared" si="18"/>
        <v>0</v>
      </c>
      <c r="AQ367" s="48">
        <f t="shared" si="19"/>
        <v>0</v>
      </c>
      <c r="AR367" s="46">
        <f t="shared" si="20"/>
        <v>0</v>
      </c>
      <c r="AS367" s="47">
        <f t="shared" si="21"/>
        <v>0</v>
      </c>
      <c r="AT367" s="5"/>
      <c r="AU367" s="49">
        <f t="shared" si="27"/>
        <v>33429.06</v>
      </c>
      <c r="AV367" s="50">
        <f t="shared" si="23"/>
        <v>1</v>
      </c>
      <c r="AW367" s="51">
        <f t="shared" si="24"/>
        <v>0.003243393913</v>
      </c>
      <c r="AX367" s="52">
        <f t="shared" si="25"/>
        <v>0.0005810951478</v>
      </c>
      <c r="AY367" s="5"/>
      <c r="AZ367" s="53">
        <f t="shared" si="26"/>
        <v>1</v>
      </c>
      <c r="BA367" s="5"/>
      <c r="BB367" s="5"/>
      <c r="BC367" s="5"/>
    </row>
    <row r="368" ht="12.75" customHeight="1">
      <c r="A368" s="25"/>
      <c r="B368" s="27" t="s">
        <v>650</v>
      </c>
      <c r="C368" s="113">
        <v>16736.29</v>
      </c>
      <c r="D368" s="28">
        <v>15097.25</v>
      </c>
      <c r="E368" s="29" t="s">
        <v>49</v>
      </c>
      <c r="F368" s="30">
        <v>43434.0</v>
      </c>
      <c r="G368" s="30" t="s">
        <v>40</v>
      </c>
      <c r="H368" s="30">
        <v>44134.0</v>
      </c>
      <c r="I368" s="32">
        <f t="shared" si="1"/>
        <v>23.33333333</v>
      </c>
      <c r="J368" s="33" t="s">
        <v>129</v>
      </c>
      <c r="K368" s="34">
        <v>17000.0</v>
      </c>
      <c r="L368" s="115">
        <v>1446.38</v>
      </c>
      <c r="M368" s="35">
        <v>4106.7</v>
      </c>
      <c r="N368" s="35">
        <v>806.19</v>
      </c>
      <c r="O368" s="35">
        <f t="shared" si="65"/>
        <v>0</v>
      </c>
      <c r="P368" s="35">
        <f t="shared" si="3"/>
        <v>4456.52</v>
      </c>
      <c r="Q368" s="36">
        <f t="shared" si="4"/>
        <v>0.2951875342</v>
      </c>
      <c r="R368" s="36">
        <f t="shared" si="5"/>
        <v>0.7048124658</v>
      </c>
      <c r="S368" s="37"/>
      <c r="T368" s="5"/>
      <c r="U368" s="54">
        <v>751.74</v>
      </c>
      <c r="V368" s="55">
        <v>3551.67</v>
      </c>
      <c r="W368" s="55">
        <f t="shared" si="62"/>
        <v>4303.41</v>
      </c>
      <c r="X368" s="56">
        <v>0.0933</v>
      </c>
      <c r="Y368" s="55">
        <f t="shared" si="63"/>
        <v>694.6389493</v>
      </c>
      <c r="Z368" s="55">
        <f t="shared" si="43"/>
        <v>694.6389493</v>
      </c>
      <c r="AA368" s="57">
        <f t="shared" si="44"/>
        <v>1446.378949</v>
      </c>
      <c r="AB368" s="5"/>
      <c r="AC368" s="42">
        <f t="shared" si="6"/>
        <v>1</v>
      </c>
      <c r="AD368" s="3">
        <f t="shared" si="7"/>
        <v>1</v>
      </c>
      <c r="AE368" s="3">
        <f t="shared" si="8"/>
        <v>1</v>
      </c>
      <c r="AF368" s="43">
        <f t="shared" si="9"/>
        <v>4912.89</v>
      </c>
      <c r="AG368" s="44">
        <f t="shared" si="10"/>
        <v>15097.25</v>
      </c>
      <c r="AH368" s="45">
        <f t="shared" si="11"/>
        <v>23.33333333</v>
      </c>
      <c r="AI368" s="46">
        <f t="shared" si="12"/>
        <v>0.003267091002</v>
      </c>
      <c r="AJ368" s="47">
        <f t="shared" si="13"/>
        <v>0.0009644045369</v>
      </c>
      <c r="AK368" s="5"/>
      <c r="AL368" s="42">
        <f t="shared" si="14"/>
        <v>0</v>
      </c>
      <c r="AM368" s="3">
        <f t="shared" si="15"/>
        <v>1</v>
      </c>
      <c r="AN368" s="3">
        <f t="shared" si="16"/>
        <v>0</v>
      </c>
      <c r="AO368" s="3">
        <f t="shared" si="17"/>
        <v>0</v>
      </c>
      <c r="AP368" s="44">
        <f t="shared" si="18"/>
        <v>0</v>
      </c>
      <c r="AQ368" s="48">
        <f t="shared" si="19"/>
        <v>0</v>
      </c>
      <c r="AR368" s="46">
        <f t="shared" si="20"/>
        <v>0</v>
      </c>
      <c r="AS368" s="47">
        <f t="shared" si="21"/>
        <v>0</v>
      </c>
      <c r="AT368" s="5"/>
      <c r="AU368" s="49">
        <f t="shared" si="27"/>
        <v>15097.25</v>
      </c>
      <c r="AV368" s="50">
        <f t="shared" si="23"/>
        <v>1</v>
      </c>
      <c r="AW368" s="51">
        <f t="shared" si="24"/>
        <v>0.001464783298</v>
      </c>
      <c r="AX368" s="52">
        <f t="shared" si="25"/>
        <v>0.0004323857698</v>
      </c>
      <c r="AY368" s="5"/>
      <c r="AZ368" s="53">
        <f t="shared" si="26"/>
        <v>1</v>
      </c>
      <c r="BA368" s="5"/>
      <c r="BB368" s="5"/>
      <c r="BC368" s="5"/>
    </row>
    <row r="369" ht="12.75" customHeight="1">
      <c r="A369" s="25"/>
      <c r="B369" s="27" t="s">
        <v>651</v>
      </c>
      <c r="C369" s="113">
        <v>17550.0</v>
      </c>
      <c r="D369" s="28">
        <v>16308.79</v>
      </c>
      <c r="E369" s="29" t="s">
        <v>49</v>
      </c>
      <c r="F369" s="30">
        <v>43465.0</v>
      </c>
      <c r="G369" s="30" t="s">
        <v>40</v>
      </c>
      <c r="H369" s="30">
        <v>43585.0</v>
      </c>
      <c r="I369" s="32">
        <f t="shared" si="1"/>
        <v>4</v>
      </c>
      <c r="J369" s="33" t="s">
        <v>652</v>
      </c>
      <c r="K369" s="34">
        <v>21000.0</v>
      </c>
      <c r="L369" s="115">
        <v>1211.96</v>
      </c>
      <c r="M369" s="35">
        <v>3356.49</v>
      </c>
      <c r="N369" s="35">
        <v>243.1</v>
      </c>
      <c r="O369" s="35">
        <f t="shared" si="65"/>
        <v>0</v>
      </c>
      <c r="P369" s="35">
        <f t="shared" si="3"/>
        <v>120.34</v>
      </c>
      <c r="Q369" s="36">
        <f t="shared" si="4"/>
        <v>0.007378842943</v>
      </c>
      <c r="R369" s="36">
        <f t="shared" si="5"/>
        <v>0.9926211571</v>
      </c>
      <c r="S369" s="37"/>
      <c r="T369" s="5"/>
      <c r="U369" s="54">
        <v>480.08</v>
      </c>
      <c r="V369" s="55">
        <v>2911.13</v>
      </c>
      <c r="W369" s="55">
        <f t="shared" si="62"/>
        <v>3391.21</v>
      </c>
      <c r="X369" s="56">
        <v>0.091</v>
      </c>
      <c r="Y369" s="55">
        <f t="shared" si="63"/>
        <v>731.8848773</v>
      </c>
      <c r="Z369" s="55">
        <f t="shared" si="43"/>
        <v>731.8848773</v>
      </c>
      <c r="AA369" s="57">
        <f t="shared" si="44"/>
        <v>1211.964877</v>
      </c>
      <c r="AB369" s="5"/>
      <c r="AC369" s="42">
        <f t="shared" si="6"/>
        <v>1</v>
      </c>
      <c r="AD369" s="3">
        <f t="shared" si="7"/>
        <v>1</v>
      </c>
      <c r="AE369" s="3">
        <f t="shared" si="8"/>
        <v>1</v>
      </c>
      <c r="AF369" s="43">
        <f t="shared" si="9"/>
        <v>3599.59</v>
      </c>
      <c r="AG369" s="44">
        <f t="shared" si="10"/>
        <v>16308.79</v>
      </c>
      <c r="AH369" s="45">
        <f t="shared" si="11"/>
        <v>4</v>
      </c>
      <c r="AI369" s="46">
        <f t="shared" si="12"/>
        <v>0.003529271958</v>
      </c>
      <c r="AJ369" s="47">
        <f t="shared" si="13"/>
        <v>0.00002604194348</v>
      </c>
      <c r="AK369" s="5"/>
      <c r="AL369" s="42">
        <f t="shared" si="14"/>
        <v>0</v>
      </c>
      <c r="AM369" s="3">
        <f t="shared" si="15"/>
        <v>1</v>
      </c>
      <c r="AN369" s="3">
        <f t="shared" si="16"/>
        <v>0</v>
      </c>
      <c r="AO369" s="3">
        <f t="shared" si="17"/>
        <v>0</v>
      </c>
      <c r="AP369" s="44">
        <f t="shared" si="18"/>
        <v>0</v>
      </c>
      <c r="AQ369" s="48">
        <f t="shared" si="19"/>
        <v>0</v>
      </c>
      <c r="AR369" s="46">
        <f t="shared" si="20"/>
        <v>0</v>
      </c>
      <c r="AS369" s="47">
        <f t="shared" si="21"/>
        <v>0</v>
      </c>
      <c r="AT369" s="5"/>
      <c r="AU369" s="49">
        <f t="shared" si="27"/>
        <v>16308.79</v>
      </c>
      <c r="AV369" s="50">
        <f t="shared" si="23"/>
        <v>1</v>
      </c>
      <c r="AW369" s="51">
        <f t="shared" si="24"/>
        <v>0.001582330769</v>
      </c>
      <c r="AX369" s="52">
        <f t="shared" si="25"/>
        <v>0.00001167577023</v>
      </c>
      <c r="AY369" s="5"/>
      <c r="AZ369" s="53">
        <f t="shared" si="26"/>
        <v>1</v>
      </c>
      <c r="BA369" s="5"/>
      <c r="BB369" s="5"/>
      <c r="BC369" s="5"/>
    </row>
    <row r="370" ht="12.75" customHeight="1">
      <c r="A370" s="25"/>
      <c r="B370" s="27" t="s">
        <v>653</v>
      </c>
      <c r="C370" s="113">
        <v>31366.41</v>
      </c>
      <c r="D370" s="28">
        <v>30081.72</v>
      </c>
      <c r="E370" s="29" t="s">
        <v>39</v>
      </c>
      <c r="F370" s="30">
        <v>43496.0</v>
      </c>
      <c r="G370" s="30" t="s">
        <v>40</v>
      </c>
      <c r="H370" s="30">
        <v>43555.0</v>
      </c>
      <c r="I370" s="32">
        <f t="shared" si="1"/>
        <v>1.966666667</v>
      </c>
      <c r="J370" s="33" t="s">
        <v>654</v>
      </c>
      <c r="K370" s="34">
        <v>38000.0</v>
      </c>
      <c r="L370" s="115">
        <v>1668.17</v>
      </c>
      <c r="M370" s="35">
        <v>1890.46</v>
      </c>
      <c r="N370" s="35">
        <v>682.77</v>
      </c>
      <c r="O370" s="35">
        <f t="shared" si="65"/>
        <v>0</v>
      </c>
      <c r="P370" s="35">
        <f t="shared" si="3"/>
        <v>0</v>
      </c>
      <c r="Q370" s="36">
        <f t="shared" si="4"/>
        <v>0</v>
      </c>
      <c r="R370" s="36">
        <f t="shared" si="5"/>
        <v>1</v>
      </c>
      <c r="S370" s="37"/>
      <c r="T370" s="5"/>
      <c r="U370" s="54">
        <v>429.46</v>
      </c>
      <c r="V370" s="55">
        <v>2174.61</v>
      </c>
      <c r="W370" s="55">
        <f t="shared" si="62"/>
        <v>2604.07</v>
      </c>
      <c r="X370" s="56">
        <v>0.0835</v>
      </c>
      <c r="Y370" s="55">
        <f t="shared" si="63"/>
        <v>1238.707539</v>
      </c>
      <c r="Z370" s="55">
        <f t="shared" si="43"/>
        <v>1238.707539</v>
      </c>
      <c r="AA370" s="57">
        <f t="shared" si="44"/>
        <v>1668.167539</v>
      </c>
      <c r="AB370" s="5"/>
      <c r="AC370" s="42">
        <f t="shared" si="6"/>
        <v>0</v>
      </c>
      <c r="AD370" s="3">
        <f t="shared" si="7"/>
        <v>1</v>
      </c>
      <c r="AE370" s="3">
        <f t="shared" si="8"/>
        <v>0</v>
      </c>
      <c r="AF370" s="43">
        <f t="shared" si="9"/>
        <v>0</v>
      </c>
      <c r="AG370" s="44">
        <f t="shared" si="10"/>
        <v>0</v>
      </c>
      <c r="AH370" s="45">
        <f t="shared" si="11"/>
        <v>0</v>
      </c>
      <c r="AI370" s="46">
        <f t="shared" si="12"/>
        <v>0</v>
      </c>
      <c r="AJ370" s="47">
        <f t="shared" si="13"/>
        <v>0</v>
      </c>
      <c r="AK370" s="5"/>
      <c r="AL370" s="42">
        <f t="shared" si="14"/>
        <v>1</v>
      </c>
      <c r="AM370" s="3">
        <f t="shared" si="15"/>
        <v>1</v>
      </c>
      <c r="AN370" s="3">
        <f t="shared" si="16"/>
        <v>1</v>
      </c>
      <c r="AO370" s="3">
        <f t="shared" si="17"/>
        <v>2573.23</v>
      </c>
      <c r="AP370" s="44">
        <f t="shared" si="18"/>
        <v>30081.72</v>
      </c>
      <c r="AQ370" s="48">
        <f t="shared" si="19"/>
        <v>1.966666667</v>
      </c>
      <c r="AR370" s="46">
        <f t="shared" si="20"/>
        <v>0.005276986072</v>
      </c>
      <c r="AS370" s="47">
        <f t="shared" si="21"/>
        <v>0</v>
      </c>
      <c r="AT370" s="5"/>
      <c r="AU370" s="49">
        <f t="shared" si="27"/>
        <v>30081.72</v>
      </c>
      <c r="AV370" s="50">
        <f t="shared" si="23"/>
        <v>1</v>
      </c>
      <c r="AW370" s="51">
        <f t="shared" si="24"/>
        <v>0.002918624321</v>
      </c>
      <c r="AX370" s="52">
        <f t="shared" si="25"/>
        <v>0</v>
      </c>
      <c r="AY370" s="5"/>
      <c r="AZ370" s="53">
        <f t="shared" si="26"/>
        <v>1</v>
      </c>
      <c r="BA370" s="5"/>
      <c r="BB370" s="5"/>
      <c r="BC370" s="5"/>
    </row>
    <row r="371" ht="12.75" customHeight="1">
      <c r="A371" s="25"/>
      <c r="B371" s="27" t="s">
        <v>655</v>
      </c>
      <c r="C371" s="113">
        <v>14962.5</v>
      </c>
      <c r="D371" s="28">
        <v>13722.05</v>
      </c>
      <c r="E371" s="29" t="s">
        <v>49</v>
      </c>
      <c r="F371" s="30">
        <v>43496.0</v>
      </c>
      <c r="G371" s="30" t="s">
        <v>40</v>
      </c>
      <c r="H371" s="30">
        <v>43615.0</v>
      </c>
      <c r="I371" s="32">
        <f t="shared" si="1"/>
        <v>3.966666667</v>
      </c>
      <c r="J371" s="33" t="s">
        <v>656</v>
      </c>
      <c r="K371" s="34">
        <v>17000.0</v>
      </c>
      <c r="L371" s="115">
        <v>1170.58</v>
      </c>
      <c r="M371" s="35">
        <v>2313.88</v>
      </c>
      <c r="N371" s="35">
        <v>266.23</v>
      </c>
      <c r="O371" s="35">
        <f t="shared" si="65"/>
        <v>0</v>
      </c>
      <c r="P371" s="35">
        <f t="shared" si="3"/>
        <v>472.74</v>
      </c>
      <c r="Q371" s="36">
        <f t="shared" si="4"/>
        <v>0.03445112064</v>
      </c>
      <c r="R371" s="36">
        <f t="shared" si="5"/>
        <v>0.9655488794</v>
      </c>
      <c r="S371" s="37"/>
      <c r="T371" s="5"/>
      <c r="U371" s="54">
        <v>525.0</v>
      </c>
      <c r="V371" s="55">
        <v>3626.79</v>
      </c>
      <c r="W371" s="55">
        <f t="shared" si="62"/>
        <v>4151.79</v>
      </c>
      <c r="X371" s="56">
        <v>0.0954</v>
      </c>
      <c r="Y371" s="55">
        <f t="shared" si="63"/>
        <v>645.5754592</v>
      </c>
      <c r="Z371" s="55">
        <f t="shared" si="43"/>
        <v>645.5754592</v>
      </c>
      <c r="AA371" s="57">
        <f t="shared" si="44"/>
        <v>1170.575459</v>
      </c>
      <c r="AB371" s="5"/>
      <c r="AC371" s="42">
        <f t="shared" si="6"/>
        <v>1</v>
      </c>
      <c r="AD371" s="3">
        <f t="shared" si="7"/>
        <v>1</v>
      </c>
      <c r="AE371" s="3">
        <f t="shared" si="8"/>
        <v>1</v>
      </c>
      <c r="AF371" s="43">
        <f t="shared" si="9"/>
        <v>2580.11</v>
      </c>
      <c r="AG371" s="44">
        <f t="shared" si="10"/>
        <v>13722.05</v>
      </c>
      <c r="AH371" s="45">
        <f t="shared" si="11"/>
        <v>3.966666667</v>
      </c>
      <c r="AI371" s="46">
        <f t="shared" si="12"/>
        <v>0.002969493523</v>
      </c>
      <c r="AJ371" s="47">
        <f t="shared" si="13"/>
        <v>0.0001023023796</v>
      </c>
      <c r="AK371" s="5"/>
      <c r="AL371" s="42">
        <f t="shared" si="14"/>
        <v>0</v>
      </c>
      <c r="AM371" s="3">
        <f t="shared" si="15"/>
        <v>1</v>
      </c>
      <c r="AN371" s="3">
        <f t="shared" si="16"/>
        <v>0</v>
      </c>
      <c r="AO371" s="3">
        <f t="shared" si="17"/>
        <v>0</v>
      </c>
      <c r="AP371" s="44">
        <f t="shared" si="18"/>
        <v>0</v>
      </c>
      <c r="AQ371" s="48">
        <f t="shared" si="19"/>
        <v>0</v>
      </c>
      <c r="AR371" s="46">
        <f t="shared" si="20"/>
        <v>0</v>
      </c>
      <c r="AS371" s="47">
        <f t="shared" si="21"/>
        <v>0</v>
      </c>
      <c r="AT371" s="5"/>
      <c r="AU371" s="49">
        <f t="shared" si="27"/>
        <v>13722.05</v>
      </c>
      <c r="AV371" s="50">
        <f t="shared" si="23"/>
        <v>1</v>
      </c>
      <c r="AW371" s="51">
        <f t="shared" si="24"/>
        <v>0.001331357012</v>
      </c>
      <c r="AX371" s="52">
        <f t="shared" si="25"/>
        <v>0.00004586674105</v>
      </c>
      <c r="AY371" s="5"/>
      <c r="AZ371" s="53">
        <f t="shared" si="26"/>
        <v>1</v>
      </c>
      <c r="BA371" s="5"/>
      <c r="BB371" s="5"/>
      <c r="BC371" s="5"/>
    </row>
    <row r="372" ht="12.75" customHeight="1">
      <c r="A372" s="25"/>
      <c r="B372" s="27" t="s">
        <v>657</v>
      </c>
      <c r="C372" s="113">
        <v>17100.0</v>
      </c>
      <c r="D372" s="28">
        <v>14694.44</v>
      </c>
      <c r="E372" s="29" t="s">
        <v>49</v>
      </c>
      <c r="F372" s="30">
        <v>43524.0</v>
      </c>
      <c r="G372" s="30" t="s">
        <v>40</v>
      </c>
      <c r="H372" s="30">
        <v>43646.0</v>
      </c>
      <c r="I372" s="32">
        <f t="shared" si="1"/>
        <v>4.066666667</v>
      </c>
      <c r="J372" s="33" t="s">
        <v>658</v>
      </c>
      <c r="K372" s="34">
        <v>17000.0</v>
      </c>
      <c r="L372" s="115">
        <v>1047.01</v>
      </c>
      <c r="M372" s="35">
        <v>3407.64</v>
      </c>
      <c r="N372" s="35">
        <v>342.1</v>
      </c>
      <c r="O372" s="35">
        <f t="shared" si="65"/>
        <v>0</v>
      </c>
      <c r="P372" s="35">
        <f t="shared" si="3"/>
        <v>2491.19</v>
      </c>
      <c r="Q372" s="36">
        <f t="shared" si="4"/>
        <v>0.1695328301</v>
      </c>
      <c r="R372" s="36">
        <f t="shared" si="5"/>
        <v>0.8304671699</v>
      </c>
      <c r="S372" s="37"/>
      <c r="T372" s="5"/>
      <c r="U372" s="54">
        <v>344.82</v>
      </c>
      <c r="V372" s="55">
        <v>1782.28</v>
      </c>
      <c r="W372" s="55">
        <f t="shared" si="62"/>
        <v>2127.1</v>
      </c>
      <c r="X372" s="56">
        <v>0.0969</v>
      </c>
      <c r="Y372" s="55">
        <f t="shared" si="63"/>
        <v>702.1929383</v>
      </c>
      <c r="Z372" s="55">
        <f t="shared" si="43"/>
        <v>702.1929383</v>
      </c>
      <c r="AA372" s="57">
        <f t="shared" si="44"/>
        <v>1047.012938</v>
      </c>
      <c r="AB372" s="5"/>
      <c r="AC372" s="42">
        <f t="shared" si="6"/>
        <v>1</v>
      </c>
      <c r="AD372" s="3">
        <f t="shared" si="7"/>
        <v>1</v>
      </c>
      <c r="AE372" s="3">
        <f t="shared" si="8"/>
        <v>1</v>
      </c>
      <c r="AF372" s="43">
        <f t="shared" si="9"/>
        <v>3749.74</v>
      </c>
      <c r="AG372" s="44">
        <f t="shared" si="10"/>
        <v>14694.44</v>
      </c>
      <c r="AH372" s="45">
        <f t="shared" si="11"/>
        <v>4.066666667</v>
      </c>
      <c r="AI372" s="46">
        <f t="shared" si="12"/>
        <v>0.003179921688</v>
      </c>
      <c r="AJ372" s="47">
        <f t="shared" si="13"/>
        <v>0.0005391011233</v>
      </c>
      <c r="AK372" s="5"/>
      <c r="AL372" s="42">
        <f t="shared" si="14"/>
        <v>0</v>
      </c>
      <c r="AM372" s="3">
        <f t="shared" si="15"/>
        <v>1</v>
      </c>
      <c r="AN372" s="3">
        <f t="shared" si="16"/>
        <v>0</v>
      </c>
      <c r="AO372" s="3">
        <f t="shared" si="17"/>
        <v>0</v>
      </c>
      <c r="AP372" s="44">
        <f t="shared" si="18"/>
        <v>0</v>
      </c>
      <c r="AQ372" s="48">
        <f t="shared" si="19"/>
        <v>0</v>
      </c>
      <c r="AR372" s="46">
        <f t="shared" si="20"/>
        <v>0</v>
      </c>
      <c r="AS372" s="47">
        <f t="shared" si="21"/>
        <v>0</v>
      </c>
      <c r="AT372" s="5"/>
      <c r="AU372" s="49">
        <f t="shared" si="27"/>
        <v>14694.44</v>
      </c>
      <c r="AV372" s="50">
        <f t="shared" si="23"/>
        <v>1</v>
      </c>
      <c r="AW372" s="51">
        <f t="shared" si="24"/>
        <v>0.001425701388</v>
      </c>
      <c r="AX372" s="52">
        <f t="shared" si="25"/>
        <v>0.0002417031913</v>
      </c>
      <c r="AY372" s="5"/>
      <c r="AZ372" s="53">
        <f t="shared" si="26"/>
        <v>1</v>
      </c>
      <c r="BA372" s="5"/>
      <c r="BB372" s="5"/>
      <c r="BC372" s="5"/>
    </row>
    <row r="373" ht="12.75" customHeight="1">
      <c r="A373" s="25"/>
      <c r="B373" s="27" t="s">
        <v>659</v>
      </c>
      <c r="C373" s="113">
        <v>9937.2</v>
      </c>
      <c r="D373" s="28">
        <v>8638.7</v>
      </c>
      <c r="E373" s="29" t="s">
        <v>49</v>
      </c>
      <c r="F373" s="30">
        <v>43585.0</v>
      </c>
      <c r="G373" s="30" t="s">
        <v>40</v>
      </c>
      <c r="H373" s="30">
        <v>43738.0</v>
      </c>
      <c r="I373" s="32">
        <f t="shared" si="1"/>
        <v>5.1</v>
      </c>
      <c r="J373" s="33" t="s">
        <v>129</v>
      </c>
      <c r="K373" s="34">
        <v>10000.0</v>
      </c>
      <c r="L373" s="115">
        <v>898.03</v>
      </c>
      <c r="M373" s="35">
        <v>2244.78</v>
      </c>
      <c r="N373" s="35">
        <v>0.0</v>
      </c>
      <c r="O373" s="35">
        <f t="shared" si="65"/>
        <v>0</v>
      </c>
      <c r="P373" s="35">
        <f t="shared" si="3"/>
        <v>1781.51</v>
      </c>
      <c r="Q373" s="36">
        <f t="shared" si="4"/>
        <v>0.2062243162</v>
      </c>
      <c r="R373" s="36">
        <f t="shared" si="5"/>
        <v>0.7937756838</v>
      </c>
      <c r="S373" s="37"/>
      <c r="T373" s="5"/>
      <c r="U373" s="54">
        <v>472.01</v>
      </c>
      <c r="V373" s="55">
        <v>1500.27</v>
      </c>
      <c r="W373" s="55">
        <f t="shared" si="62"/>
        <v>1972.28</v>
      </c>
      <c r="X373" s="56">
        <v>0.1</v>
      </c>
      <c r="Y373" s="55">
        <f t="shared" si="63"/>
        <v>426.0180822</v>
      </c>
      <c r="Z373" s="55">
        <f t="shared" si="43"/>
        <v>426.0180822</v>
      </c>
      <c r="AA373" s="57">
        <f t="shared" si="44"/>
        <v>898.0280822</v>
      </c>
      <c r="AB373" s="5"/>
      <c r="AC373" s="42">
        <f t="shared" si="6"/>
        <v>1</v>
      </c>
      <c r="AD373" s="3">
        <f t="shared" si="7"/>
        <v>1</v>
      </c>
      <c r="AE373" s="3">
        <f t="shared" si="8"/>
        <v>1</v>
      </c>
      <c r="AF373" s="43">
        <f t="shared" si="9"/>
        <v>2244.78</v>
      </c>
      <c r="AG373" s="44">
        <f t="shared" si="10"/>
        <v>8638.7</v>
      </c>
      <c r="AH373" s="45">
        <f t="shared" si="11"/>
        <v>5.1</v>
      </c>
      <c r="AI373" s="46">
        <f t="shared" si="12"/>
        <v>0.00186944106</v>
      </c>
      <c r="AJ373" s="47">
        <f t="shared" si="13"/>
        <v>0.0003855242042</v>
      </c>
      <c r="AK373" s="5"/>
      <c r="AL373" s="42">
        <f t="shared" si="14"/>
        <v>0</v>
      </c>
      <c r="AM373" s="3">
        <f t="shared" si="15"/>
        <v>1</v>
      </c>
      <c r="AN373" s="3">
        <f t="shared" si="16"/>
        <v>0</v>
      </c>
      <c r="AO373" s="3">
        <f t="shared" si="17"/>
        <v>0</v>
      </c>
      <c r="AP373" s="44">
        <f t="shared" si="18"/>
        <v>0</v>
      </c>
      <c r="AQ373" s="48">
        <f t="shared" si="19"/>
        <v>0</v>
      </c>
      <c r="AR373" s="46">
        <f t="shared" si="20"/>
        <v>0</v>
      </c>
      <c r="AS373" s="47">
        <f t="shared" si="21"/>
        <v>0</v>
      </c>
      <c r="AT373" s="5"/>
      <c r="AU373" s="49">
        <f t="shared" si="27"/>
        <v>8638.7</v>
      </c>
      <c r="AV373" s="50">
        <f t="shared" si="23"/>
        <v>1</v>
      </c>
      <c r="AW373" s="51">
        <f t="shared" si="24"/>
        <v>0.0008381541988</v>
      </c>
      <c r="AX373" s="52">
        <f t="shared" si="25"/>
        <v>0.0001728477765</v>
      </c>
      <c r="AY373" s="5"/>
      <c r="AZ373" s="53">
        <f t="shared" si="26"/>
        <v>1</v>
      </c>
      <c r="BA373" s="5"/>
      <c r="BB373" s="5"/>
      <c r="BC373" s="5"/>
    </row>
    <row r="374" ht="12.75" customHeight="1">
      <c r="A374" s="25"/>
      <c r="B374" s="27" t="s">
        <v>660</v>
      </c>
      <c r="C374" s="113">
        <v>17910.0</v>
      </c>
      <c r="D374" s="28">
        <v>16844.15</v>
      </c>
      <c r="E374" s="29" t="s">
        <v>49</v>
      </c>
      <c r="F374" s="30">
        <v>43616.0</v>
      </c>
      <c r="G374" s="30" t="s">
        <v>40</v>
      </c>
      <c r="H374" s="30">
        <v>43646.0</v>
      </c>
      <c r="I374" s="32">
        <f t="shared" si="1"/>
        <v>1</v>
      </c>
      <c r="J374" s="33" t="s">
        <v>661</v>
      </c>
      <c r="K374" s="34">
        <v>23000.0</v>
      </c>
      <c r="L374" s="115">
        <v>1352.25</v>
      </c>
      <c r="M374" s="35">
        <v>1504.71</v>
      </c>
      <c r="N374" s="35">
        <v>139.37</v>
      </c>
      <c r="O374" s="35">
        <f t="shared" si="65"/>
        <v>0</v>
      </c>
      <c r="P374" s="35">
        <f t="shared" si="3"/>
        <v>0</v>
      </c>
      <c r="Q374" s="36">
        <f t="shared" si="4"/>
        <v>0</v>
      </c>
      <c r="R374" s="36">
        <f t="shared" si="5"/>
        <v>1</v>
      </c>
      <c r="S374" s="37"/>
      <c r="T374" s="5"/>
      <c r="U374" s="54">
        <v>573.91</v>
      </c>
      <c r="V374" s="55">
        <v>2778.21</v>
      </c>
      <c r="W374" s="55">
        <f t="shared" si="62"/>
        <v>3352.12</v>
      </c>
      <c r="X374" s="56">
        <v>0.0937</v>
      </c>
      <c r="Y374" s="55">
        <f t="shared" si="63"/>
        <v>778.3381751</v>
      </c>
      <c r="Z374" s="55">
        <f t="shared" si="43"/>
        <v>778.3381751</v>
      </c>
      <c r="AA374" s="57">
        <f t="shared" si="44"/>
        <v>1352.248175</v>
      </c>
      <c r="AB374" s="5"/>
      <c r="AC374" s="42">
        <f t="shared" si="6"/>
        <v>1</v>
      </c>
      <c r="AD374" s="3">
        <f t="shared" si="7"/>
        <v>1</v>
      </c>
      <c r="AE374" s="3">
        <f t="shared" si="8"/>
        <v>1</v>
      </c>
      <c r="AF374" s="43">
        <f t="shared" si="9"/>
        <v>1644.08</v>
      </c>
      <c r="AG374" s="44">
        <f t="shared" si="10"/>
        <v>16844.15</v>
      </c>
      <c r="AH374" s="45">
        <f t="shared" si="11"/>
        <v>1</v>
      </c>
      <c r="AI374" s="46">
        <f t="shared" si="12"/>
        <v>0.003645125497</v>
      </c>
      <c r="AJ374" s="47">
        <f t="shared" si="13"/>
        <v>0</v>
      </c>
      <c r="AK374" s="5"/>
      <c r="AL374" s="42">
        <f t="shared" si="14"/>
        <v>0</v>
      </c>
      <c r="AM374" s="3">
        <f t="shared" si="15"/>
        <v>1</v>
      </c>
      <c r="AN374" s="3">
        <f t="shared" si="16"/>
        <v>0</v>
      </c>
      <c r="AO374" s="3">
        <f t="shared" si="17"/>
        <v>0</v>
      </c>
      <c r="AP374" s="44">
        <f t="shared" si="18"/>
        <v>0</v>
      </c>
      <c r="AQ374" s="48">
        <f t="shared" si="19"/>
        <v>0</v>
      </c>
      <c r="AR374" s="46">
        <f t="shared" si="20"/>
        <v>0</v>
      </c>
      <c r="AS374" s="47">
        <f t="shared" si="21"/>
        <v>0</v>
      </c>
      <c r="AT374" s="5"/>
      <c r="AU374" s="49">
        <f t="shared" si="27"/>
        <v>16844.15</v>
      </c>
      <c r="AV374" s="50">
        <f t="shared" si="23"/>
        <v>1</v>
      </c>
      <c r="AW374" s="51">
        <f t="shared" si="24"/>
        <v>0.001634273102</v>
      </c>
      <c r="AX374" s="52">
        <f t="shared" si="25"/>
        <v>0</v>
      </c>
      <c r="AY374" s="5"/>
      <c r="AZ374" s="53">
        <f t="shared" si="26"/>
        <v>1</v>
      </c>
      <c r="BA374" s="5"/>
      <c r="BB374" s="5"/>
      <c r="BC374" s="5"/>
    </row>
    <row r="375" ht="12.75" customHeight="1">
      <c r="A375" s="25"/>
      <c r="B375" s="27" t="s">
        <v>662</v>
      </c>
      <c r="C375" s="113">
        <v>13891.58</v>
      </c>
      <c r="D375" s="28">
        <v>11963.5</v>
      </c>
      <c r="E375" s="29" t="s">
        <v>39</v>
      </c>
      <c r="F375" s="30">
        <v>43616.0</v>
      </c>
      <c r="G375" s="30" t="s">
        <v>40</v>
      </c>
      <c r="H375" s="30">
        <v>43768.0</v>
      </c>
      <c r="I375" s="32">
        <f t="shared" si="1"/>
        <v>5.066666667</v>
      </c>
      <c r="J375" s="33" t="s">
        <v>662</v>
      </c>
      <c r="K375" s="34">
        <v>14500.0</v>
      </c>
      <c r="L375" s="115">
        <v>580.05</v>
      </c>
      <c r="M375" s="35">
        <v>338.18</v>
      </c>
      <c r="N375" s="35">
        <v>239.89</v>
      </c>
      <c r="O375" s="35">
        <f t="shared" si="65"/>
        <v>0</v>
      </c>
      <c r="P375" s="35">
        <f t="shared" si="3"/>
        <v>0</v>
      </c>
      <c r="Q375" s="36">
        <f t="shared" si="4"/>
        <v>0</v>
      </c>
      <c r="R375" s="36">
        <f t="shared" si="5"/>
        <v>1</v>
      </c>
      <c r="S375" s="37"/>
      <c r="T375" s="5"/>
      <c r="U375" s="54">
        <v>20.75</v>
      </c>
      <c r="V375" s="55">
        <v>1490.71</v>
      </c>
      <c r="W375" s="55">
        <f t="shared" si="62"/>
        <v>1511.46</v>
      </c>
      <c r="X375" s="56">
        <v>0.0948</v>
      </c>
      <c r="Y375" s="55">
        <f t="shared" si="63"/>
        <v>559.3018192</v>
      </c>
      <c r="Z375" s="55">
        <f t="shared" si="43"/>
        <v>559.3018192</v>
      </c>
      <c r="AA375" s="57">
        <f t="shared" si="44"/>
        <v>580.0518192</v>
      </c>
      <c r="AB375" s="5"/>
      <c r="AC375" s="42">
        <f t="shared" si="6"/>
        <v>0</v>
      </c>
      <c r="AD375" s="3">
        <f t="shared" si="7"/>
        <v>1</v>
      </c>
      <c r="AE375" s="3">
        <f t="shared" si="8"/>
        <v>0</v>
      </c>
      <c r="AF375" s="43">
        <f t="shared" si="9"/>
        <v>0</v>
      </c>
      <c r="AG375" s="44">
        <f t="shared" si="10"/>
        <v>0</v>
      </c>
      <c r="AH375" s="45">
        <f t="shared" si="11"/>
        <v>0</v>
      </c>
      <c r="AI375" s="46">
        <f t="shared" si="12"/>
        <v>0</v>
      </c>
      <c r="AJ375" s="47">
        <f t="shared" si="13"/>
        <v>0</v>
      </c>
      <c r="AK375" s="5"/>
      <c r="AL375" s="42">
        <f t="shared" si="14"/>
        <v>1</v>
      </c>
      <c r="AM375" s="3">
        <f t="shared" si="15"/>
        <v>1</v>
      </c>
      <c r="AN375" s="3">
        <f t="shared" si="16"/>
        <v>1</v>
      </c>
      <c r="AO375" s="3">
        <f t="shared" si="17"/>
        <v>578.07</v>
      </c>
      <c r="AP375" s="44">
        <f t="shared" si="18"/>
        <v>11963.5</v>
      </c>
      <c r="AQ375" s="48">
        <f t="shared" si="19"/>
        <v>5.066666667</v>
      </c>
      <c r="AR375" s="46">
        <f t="shared" si="20"/>
        <v>0.002098657353</v>
      </c>
      <c r="AS375" s="47">
        <f t="shared" si="21"/>
        <v>0</v>
      </c>
      <c r="AT375" s="5"/>
      <c r="AU375" s="49">
        <f t="shared" si="27"/>
        <v>11963.5</v>
      </c>
      <c r="AV375" s="50">
        <f t="shared" si="23"/>
        <v>1</v>
      </c>
      <c r="AW375" s="51">
        <f t="shared" si="24"/>
        <v>0.001160736888</v>
      </c>
      <c r="AX375" s="52">
        <f t="shared" si="25"/>
        <v>0</v>
      </c>
      <c r="AY375" s="5"/>
      <c r="AZ375" s="53">
        <f t="shared" si="26"/>
        <v>1</v>
      </c>
      <c r="BA375" s="5"/>
      <c r="BB375" s="5"/>
      <c r="BC375" s="5"/>
    </row>
    <row r="376" ht="12.75" customHeight="1">
      <c r="A376" s="25"/>
      <c r="B376" s="27" t="s">
        <v>663</v>
      </c>
      <c r="C376" s="113">
        <v>26910.0</v>
      </c>
      <c r="D376" s="28">
        <v>12143.0</v>
      </c>
      <c r="E376" s="29" t="s">
        <v>49</v>
      </c>
      <c r="F376" s="30">
        <v>43646.0</v>
      </c>
      <c r="G376" s="30" t="s">
        <v>40</v>
      </c>
      <c r="H376" s="30">
        <v>43860.0</v>
      </c>
      <c r="I376" s="32">
        <f t="shared" si="1"/>
        <v>7.133333333</v>
      </c>
      <c r="J376" s="33" t="s">
        <v>664</v>
      </c>
      <c r="K376" s="34">
        <v>16000.0</v>
      </c>
      <c r="L376" s="65">
        <v>251.11999999999998</v>
      </c>
      <c r="M376" s="35">
        <v>0.0</v>
      </c>
      <c r="N376" s="35">
        <v>0.0</v>
      </c>
      <c r="O376" s="35">
        <f t="shared" si="65"/>
        <v>0</v>
      </c>
      <c r="P376" s="35">
        <f t="shared" si="3"/>
        <v>0</v>
      </c>
      <c r="Q376" s="36">
        <f t="shared" si="4"/>
        <v>0</v>
      </c>
      <c r="R376" s="36">
        <f t="shared" si="5"/>
        <v>1</v>
      </c>
      <c r="S376" s="37"/>
      <c r="T376" s="5"/>
      <c r="U376" s="54">
        <v>37.48</v>
      </c>
      <c r="V376" s="55">
        <v>176.16</v>
      </c>
      <c r="W376" s="55">
        <f t="shared" si="62"/>
        <v>213.64</v>
      </c>
      <c r="X376" s="56">
        <v>0.0926</v>
      </c>
      <c r="Y376" s="55">
        <f t="shared" si="63"/>
        <v>554.5192438</v>
      </c>
      <c r="Z376" s="55">
        <f t="shared" si="43"/>
        <v>213.64</v>
      </c>
      <c r="AA376" s="57">
        <f t="shared" si="44"/>
        <v>251.12</v>
      </c>
      <c r="AB376" s="5"/>
      <c r="AC376" s="42">
        <f t="shared" si="6"/>
        <v>1</v>
      </c>
      <c r="AD376" s="3">
        <f t="shared" si="7"/>
        <v>1</v>
      </c>
      <c r="AE376" s="3">
        <f t="shared" si="8"/>
        <v>1</v>
      </c>
      <c r="AF376" s="43">
        <f t="shared" si="9"/>
        <v>0</v>
      </c>
      <c r="AG376" s="44">
        <f t="shared" si="10"/>
        <v>12143</v>
      </c>
      <c r="AH376" s="45">
        <f t="shared" si="11"/>
        <v>7.133333333</v>
      </c>
      <c r="AI376" s="46">
        <f t="shared" si="12"/>
        <v>0.002627782281</v>
      </c>
      <c r="AJ376" s="47">
        <f t="shared" si="13"/>
        <v>0</v>
      </c>
      <c r="AK376" s="5"/>
      <c r="AL376" s="42">
        <f t="shared" si="14"/>
        <v>0</v>
      </c>
      <c r="AM376" s="3">
        <f t="shared" si="15"/>
        <v>1</v>
      </c>
      <c r="AN376" s="3">
        <f t="shared" si="16"/>
        <v>0</v>
      </c>
      <c r="AO376" s="3">
        <f t="shared" si="17"/>
        <v>0</v>
      </c>
      <c r="AP376" s="44">
        <f t="shared" si="18"/>
        <v>0</v>
      </c>
      <c r="AQ376" s="48">
        <f t="shared" si="19"/>
        <v>0</v>
      </c>
      <c r="AR376" s="46">
        <f t="shared" si="20"/>
        <v>0</v>
      </c>
      <c r="AS376" s="47">
        <f t="shared" si="21"/>
        <v>0</v>
      </c>
      <c r="AT376" s="5"/>
      <c r="AU376" s="49">
        <f t="shared" si="27"/>
        <v>12143</v>
      </c>
      <c r="AV376" s="50">
        <f t="shared" si="23"/>
        <v>1</v>
      </c>
      <c r="AW376" s="51">
        <f t="shared" si="24"/>
        <v>0.00117815255</v>
      </c>
      <c r="AX376" s="52">
        <f t="shared" si="25"/>
        <v>0</v>
      </c>
      <c r="AY376" s="5"/>
      <c r="AZ376" s="53">
        <f t="shared" si="26"/>
        <v>1</v>
      </c>
      <c r="BA376" s="5"/>
      <c r="BB376" s="5"/>
      <c r="BC376" s="5"/>
    </row>
    <row r="377" ht="12.75" customHeight="1">
      <c r="A377" s="25"/>
      <c r="B377" s="27" t="s">
        <v>665</v>
      </c>
      <c r="C377" s="113">
        <v>15750.0</v>
      </c>
      <c r="D377" s="28">
        <v>14518.26</v>
      </c>
      <c r="E377" s="29" t="s">
        <v>49</v>
      </c>
      <c r="F377" s="30">
        <v>43676.0</v>
      </c>
      <c r="G377" s="30" t="s">
        <v>40</v>
      </c>
      <c r="H377" s="30">
        <v>44505.0</v>
      </c>
      <c r="I377" s="32">
        <f t="shared" si="1"/>
        <v>27.63333333</v>
      </c>
      <c r="J377" s="33" t="s">
        <v>129</v>
      </c>
      <c r="K377" s="34">
        <v>12000.0</v>
      </c>
      <c r="L377" s="115">
        <v>1518.84</v>
      </c>
      <c r="M377" s="35">
        <v>2581.17</v>
      </c>
      <c r="N377" s="35">
        <v>17.88</v>
      </c>
      <c r="O377" s="35">
        <f t="shared" si="65"/>
        <v>2518.26</v>
      </c>
      <c r="P377" s="35">
        <f t="shared" si="3"/>
        <v>6636.15</v>
      </c>
      <c r="Q377" s="36">
        <f t="shared" si="4"/>
        <v>0.4570898992</v>
      </c>
      <c r="R377" s="36">
        <f t="shared" si="5"/>
        <v>0.5429101008</v>
      </c>
      <c r="S377" s="37"/>
      <c r="T377" s="5"/>
      <c r="U377" s="54">
        <v>847.98</v>
      </c>
      <c r="V377" s="55">
        <v>3287.54</v>
      </c>
      <c r="W377" s="55">
        <f t="shared" si="62"/>
        <v>4135.52</v>
      </c>
      <c r="X377" s="56">
        <v>0.0937</v>
      </c>
      <c r="Y377" s="55">
        <f t="shared" si="63"/>
        <v>670.8629402</v>
      </c>
      <c r="Z377" s="55">
        <f t="shared" si="43"/>
        <v>670.8629402</v>
      </c>
      <c r="AA377" s="57">
        <f t="shared" si="44"/>
        <v>1518.84294</v>
      </c>
      <c r="AB377" s="5"/>
      <c r="AC377" s="42">
        <f t="shared" si="6"/>
        <v>1</v>
      </c>
      <c r="AD377" s="3">
        <f t="shared" si="7"/>
        <v>1</v>
      </c>
      <c r="AE377" s="3">
        <f t="shared" si="8"/>
        <v>1</v>
      </c>
      <c r="AF377" s="43">
        <f t="shared" si="9"/>
        <v>2599.05</v>
      </c>
      <c r="AG377" s="44">
        <f t="shared" si="10"/>
        <v>14518.26</v>
      </c>
      <c r="AH377" s="45">
        <f t="shared" si="11"/>
        <v>27.63333333</v>
      </c>
      <c r="AI377" s="46">
        <f t="shared" si="12"/>
        <v>0.003141795798</v>
      </c>
      <c r="AJ377" s="47">
        <f t="shared" si="13"/>
        <v>0.001436083125</v>
      </c>
      <c r="AK377" s="5"/>
      <c r="AL377" s="42">
        <f t="shared" si="14"/>
        <v>0</v>
      </c>
      <c r="AM377" s="3">
        <f t="shared" si="15"/>
        <v>1</v>
      </c>
      <c r="AN377" s="3">
        <f t="shared" si="16"/>
        <v>0</v>
      </c>
      <c r="AO377" s="3">
        <f t="shared" si="17"/>
        <v>0</v>
      </c>
      <c r="AP377" s="44">
        <f t="shared" si="18"/>
        <v>0</v>
      </c>
      <c r="AQ377" s="48">
        <f t="shared" si="19"/>
        <v>0</v>
      </c>
      <c r="AR377" s="46">
        <f t="shared" si="20"/>
        <v>0</v>
      </c>
      <c r="AS377" s="47">
        <f t="shared" si="21"/>
        <v>0</v>
      </c>
      <c r="AT377" s="5"/>
      <c r="AU377" s="49">
        <f t="shared" si="27"/>
        <v>14518.26</v>
      </c>
      <c r="AV377" s="50">
        <f t="shared" si="23"/>
        <v>1</v>
      </c>
      <c r="AW377" s="51">
        <f t="shared" si="24"/>
        <v>0.001408607844</v>
      </c>
      <c r="AX377" s="52">
        <f t="shared" si="25"/>
        <v>0.0006438604172</v>
      </c>
      <c r="AY377" s="5"/>
      <c r="AZ377" s="53">
        <f t="shared" si="26"/>
        <v>1</v>
      </c>
      <c r="BA377" s="5"/>
      <c r="BB377" s="5"/>
      <c r="BC377" s="5"/>
    </row>
    <row r="378" ht="12.75" customHeight="1">
      <c r="A378" s="25"/>
      <c r="B378" s="27" t="s">
        <v>666</v>
      </c>
      <c r="C378" s="113">
        <v>12150.0</v>
      </c>
      <c r="D378" s="28">
        <v>8173.76</v>
      </c>
      <c r="E378" s="29" t="s">
        <v>49</v>
      </c>
      <c r="F378" s="30">
        <v>43707.0</v>
      </c>
      <c r="G378" s="30" t="s">
        <v>40</v>
      </c>
      <c r="H378" s="30">
        <v>43768.0</v>
      </c>
      <c r="I378" s="32">
        <f t="shared" si="1"/>
        <v>2.033333333</v>
      </c>
      <c r="J378" s="33" t="s">
        <v>667</v>
      </c>
      <c r="K378" s="34">
        <v>12000.0</v>
      </c>
      <c r="L378" s="115">
        <v>1647.45</v>
      </c>
      <c r="M378" s="35">
        <v>1907.86</v>
      </c>
      <c r="N378" s="35">
        <v>282.0</v>
      </c>
      <c r="O378" s="35">
        <f t="shared" si="65"/>
        <v>0</v>
      </c>
      <c r="P378" s="35">
        <f t="shared" si="3"/>
        <v>11.07</v>
      </c>
      <c r="Q378" s="36">
        <f t="shared" si="4"/>
        <v>0.001354333868</v>
      </c>
      <c r="R378" s="36">
        <f t="shared" si="5"/>
        <v>0.9986456661</v>
      </c>
      <c r="S378" s="37"/>
      <c r="T378" s="5"/>
      <c r="U378" s="54">
        <v>1254.44</v>
      </c>
      <c r="V378" s="55">
        <v>1317.66</v>
      </c>
      <c r="W378" s="55">
        <f t="shared" si="62"/>
        <v>2572.1</v>
      </c>
      <c r="X378" s="56">
        <v>0.0975</v>
      </c>
      <c r="Y378" s="55">
        <f t="shared" si="63"/>
        <v>393.0122959</v>
      </c>
      <c r="Z378" s="55">
        <f t="shared" si="43"/>
        <v>393.0122959</v>
      </c>
      <c r="AA378" s="57">
        <f t="shared" si="44"/>
        <v>1647.452296</v>
      </c>
      <c r="AB378" s="5"/>
      <c r="AC378" s="42">
        <f t="shared" si="6"/>
        <v>1</v>
      </c>
      <c r="AD378" s="3">
        <f t="shared" si="7"/>
        <v>1</v>
      </c>
      <c r="AE378" s="3">
        <f t="shared" si="8"/>
        <v>1</v>
      </c>
      <c r="AF378" s="43">
        <f t="shared" si="9"/>
        <v>2189.86</v>
      </c>
      <c r="AG378" s="44">
        <f t="shared" si="10"/>
        <v>8173.76</v>
      </c>
      <c r="AH378" s="45">
        <f t="shared" si="11"/>
        <v>2.033333333</v>
      </c>
      <c r="AI378" s="46">
        <f t="shared" si="12"/>
        <v>0.001768826624</v>
      </c>
      <c r="AJ378" s="47">
        <f t="shared" si="13"/>
        <v>0.000002395581804</v>
      </c>
      <c r="AK378" s="5"/>
      <c r="AL378" s="42">
        <f t="shared" si="14"/>
        <v>0</v>
      </c>
      <c r="AM378" s="3">
        <f t="shared" si="15"/>
        <v>1</v>
      </c>
      <c r="AN378" s="3">
        <f t="shared" si="16"/>
        <v>0</v>
      </c>
      <c r="AO378" s="3">
        <f t="shared" si="17"/>
        <v>0</v>
      </c>
      <c r="AP378" s="44">
        <f t="shared" si="18"/>
        <v>0</v>
      </c>
      <c r="AQ378" s="48">
        <f t="shared" si="19"/>
        <v>0</v>
      </c>
      <c r="AR378" s="46">
        <f t="shared" si="20"/>
        <v>0</v>
      </c>
      <c r="AS378" s="47">
        <f t="shared" si="21"/>
        <v>0</v>
      </c>
      <c r="AT378" s="5"/>
      <c r="AU378" s="49">
        <f t="shared" si="27"/>
        <v>8173.76</v>
      </c>
      <c r="AV378" s="50">
        <f t="shared" si="23"/>
        <v>1</v>
      </c>
      <c r="AW378" s="51">
        <f t="shared" si="24"/>
        <v>0.0007930442386</v>
      </c>
      <c r="AX378" s="52">
        <f t="shared" si="25"/>
        <v>0.000001074046671</v>
      </c>
      <c r="AY378" s="5"/>
      <c r="AZ378" s="53">
        <f t="shared" si="26"/>
        <v>1</v>
      </c>
      <c r="BA378" s="5"/>
      <c r="BB378" s="5"/>
      <c r="BC378" s="5"/>
    </row>
    <row r="379" ht="12.75" customHeight="1">
      <c r="A379" s="25"/>
      <c r="B379" s="27" t="s">
        <v>668</v>
      </c>
      <c r="C379" s="113">
        <v>18000.0</v>
      </c>
      <c r="D379" s="28">
        <v>17380.25</v>
      </c>
      <c r="E379" s="29" t="s">
        <v>49</v>
      </c>
      <c r="F379" s="30">
        <v>43707.0</v>
      </c>
      <c r="G379" s="30" t="s">
        <v>40</v>
      </c>
      <c r="H379" s="30">
        <v>43799.0</v>
      </c>
      <c r="I379" s="32">
        <f t="shared" si="1"/>
        <v>3.066666667</v>
      </c>
      <c r="J379" s="33" t="s">
        <v>669</v>
      </c>
      <c r="K379" s="34">
        <v>26000.0</v>
      </c>
      <c r="L379" s="115">
        <v>958.9</v>
      </c>
      <c r="M379" s="35">
        <v>2723.49</v>
      </c>
      <c r="N379" s="35">
        <v>929.39</v>
      </c>
      <c r="O379" s="35">
        <f t="shared" si="65"/>
        <v>0</v>
      </c>
      <c r="P379" s="35">
        <f t="shared" si="3"/>
        <v>0</v>
      </c>
      <c r="Q379" s="36">
        <f t="shared" si="4"/>
        <v>0</v>
      </c>
      <c r="R379" s="36">
        <f t="shared" si="5"/>
        <v>1</v>
      </c>
      <c r="S379" s="37"/>
      <c r="T379" s="5"/>
      <c r="U379" s="54">
        <v>294.64</v>
      </c>
      <c r="V379" s="55">
        <v>1464.05</v>
      </c>
      <c r="W379" s="55">
        <f t="shared" si="62"/>
        <v>1758.69</v>
      </c>
      <c r="X379" s="56">
        <v>0.0775</v>
      </c>
      <c r="Y379" s="55">
        <f t="shared" si="63"/>
        <v>664.2588699</v>
      </c>
      <c r="Z379" s="55">
        <f t="shared" si="43"/>
        <v>664.2588699</v>
      </c>
      <c r="AA379" s="57">
        <f t="shared" si="44"/>
        <v>958.8988699</v>
      </c>
      <c r="AB379" s="5"/>
      <c r="AC379" s="42">
        <f t="shared" si="6"/>
        <v>1</v>
      </c>
      <c r="AD379" s="3">
        <f t="shared" si="7"/>
        <v>1</v>
      </c>
      <c r="AE379" s="3">
        <f t="shared" si="8"/>
        <v>1</v>
      </c>
      <c r="AF379" s="43">
        <f t="shared" si="9"/>
        <v>3652.88</v>
      </c>
      <c r="AG379" s="44">
        <f t="shared" si="10"/>
        <v>17380.25</v>
      </c>
      <c r="AH379" s="45">
        <f t="shared" si="11"/>
        <v>3.066666667</v>
      </c>
      <c r="AI379" s="46">
        <f t="shared" si="12"/>
        <v>0.003761139174</v>
      </c>
      <c r="AJ379" s="47">
        <f t="shared" si="13"/>
        <v>0</v>
      </c>
      <c r="AK379" s="5"/>
      <c r="AL379" s="42">
        <f t="shared" si="14"/>
        <v>0</v>
      </c>
      <c r="AM379" s="3">
        <f t="shared" si="15"/>
        <v>1</v>
      </c>
      <c r="AN379" s="3">
        <f t="shared" si="16"/>
        <v>0</v>
      </c>
      <c r="AO379" s="3">
        <f t="shared" si="17"/>
        <v>0</v>
      </c>
      <c r="AP379" s="44">
        <f t="shared" si="18"/>
        <v>0</v>
      </c>
      <c r="AQ379" s="48">
        <f t="shared" si="19"/>
        <v>0</v>
      </c>
      <c r="AR379" s="46">
        <f t="shared" si="20"/>
        <v>0</v>
      </c>
      <c r="AS379" s="47">
        <f t="shared" si="21"/>
        <v>0</v>
      </c>
      <c r="AT379" s="5"/>
      <c r="AU379" s="49">
        <f t="shared" si="27"/>
        <v>17380.25</v>
      </c>
      <c r="AV379" s="50">
        <f t="shared" si="23"/>
        <v>1</v>
      </c>
      <c r="AW379" s="51">
        <f t="shared" si="24"/>
        <v>0.001686287232</v>
      </c>
      <c r="AX379" s="52">
        <f t="shared" si="25"/>
        <v>0</v>
      </c>
      <c r="AY379" s="5"/>
      <c r="AZ379" s="53">
        <f t="shared" si="26"/>
        <v>1</v>
      </c>
      <c r="BA379" s="5"/>
      <c r="BB379" s="5"/>
      <c r="BC379" s="5"/>
    </row>
    <row r="380" ht="12.75" customHeight="1">
      <c r="A380" s="25"/>
      <c r="B380" s="27" t="s">
        <v>670</v>
      </c>
      <c r="C380" s="113">
        <v>27000.0</v>
      </c>
      <c r="D380" s="28">
        <v>24925.97</v>
      </c>
      <c r="E380" s="29" t="s">
        <v>49</v>
      </c>
      <c r="F380" s="30">
        <v>43768.0</v>
      </c>
      <c r="G380" s="30" t="s">
        <v>40</v>
      </c>
      <c r="H380" s="30">
        <v>43890.0</v>
      </c>
      <c r="I380" s="32">
        <f t="shared" si="1"/>
        <v>4.066666667</v>
      </c>
      <c r="J380" s="33" t="s">
        <v>671</v>
      </c>
      <c r="K380" s="34">
        <v>31000.0</v>
      </c>
      <c r="L380" s="115">
        <v>1533.27</v>
      </c>
      <c r="M380" s="35">
        <v>5520.88</v>
      </c>
      <c r="N380" s="35">
        <v>578.06</v>
      </c>
      <c r="O380" s="35">
        <f t="shared" si="65"/>
        <v>0</v>
      </c>
      <c r="P380" s="35">
        <f t="shared" si="3"/>
        <v>1558.18</v>
      </c>
      <c r="Q380" s="36">
        <f t="shared" si="4"/>
        <v>0.06251231146</v>
      </c>
      <c r="R380" s="36">
        <f t="shared" si="5"/>
        <v>0.9374876885</v>
      </c>
      <c r="S380" s="37"/>
      <c r="T380" s="5"/>
      <c r="U380" s="54">
        <v>468.76</v>
      </c>
      <c r="V380" s="55">
        <v>1757.26</v>
      </c>
      <c r="W380" s="55">
        <f t="shared" si="62"/>
        <v>2226.02</v>
      </c>
      <c r="X380" s="56">
        <v>0.0866</v>
      </c>
      <c r="Y380" s="55">
        <f t="shared" si="63"/>
        <v>1064.509645</v>
      </c>
      <c r="Z380" s="55">
        <f t="shared" si="43"/>
        <v>1064.509645</v>
      </c>
      <c r="AA380" s="57">
        <f t="shared" si="44"/>
        <v>1533.269645</v>
      </c>
      <c r="AB380" s="5"/>
      <c r="AC380" s="42">
        <f t="shared" si="6"/>
        <v>1</v>
      </c>
      <c r="AD380" s="3">
        <f t="shared" si="7"/>
        <v>1</v>
      </c>
      <c r="AE380" s="3">
        <f t="shared" si="8"/>
        <v>1</v>
      </c>
      <c r="AF380" s="43">
        <f t="shared" si="9"/>
        <v>6098.94</v>
      </c>
      <c r="AG380" s="44">
        <f t="shared" si="10"/>
        <v>24925.97</v>
      </c>
      <c r="AH380" s="45">
        <f t="shared" si="11"/>
        <v>4.066666667</v>
      </c>
      <c r="AI380" s="46">
        <f t="shared" si="12"/>
        <v>0.005394056024</v>
      </c>
      <c r="AJ380" s="47">
        <f t="shared" si="13"/>
        <v>0.0003371949102</v>
      </c>
      <c r="AK380" s="5"/>
      <c r="AL380" s="42">
        <f t="shared" si="14"/>
        <v>0</v>
      </c>
      <c r="AM380" s="3">
        <f t="shared" si="15"/>
        <v>1</v>
      </c>
      <c r="AN380" s="3">
        <f t="shared" si="16"/>
        <v>0</v>
      </c>
      <c r="AO380" s="3">
        <f t="shared" si="17"/>
        <v>0</v>
      </c>
      <c r="AP380" s="44">
        <f t="shared" si="18"/>
        <v>0</v>
      </c>
      <c r="AQ380" s="48">
        <f t="shared" si="19"/>
        <v>0</v>
      </c>
      <c r="AR380" s="46">
        <f t="shared" si="20"/>
        <v>0</v>
      </c>
      <c r="AS380" s="47">
        <f t="shared" si="21"/>
        <v>0</v>
      </c>
      <c r="AT380" s="5"/>
      <c r="AU380" s="49">
        <f t="shared" si="27"/>
        <v>24925.97</v>
      </c>
      <c r="AV380" s="50">
        <f t="shared" si="23"/>
        <v>1</v>
      </c>
      <c r="AW380" s="51">
        <f t="shared" si="24"/>
        <v>0.002418397029</v>
      </c>
      <c r="AX380" s="52">
        <f t="shared" si="25"/>
        <v>0.0001511795883</v>
      </c>
      <c r="AY380" s="5"/>
      <c r="AZ380" s="53">
        <f t="shared" si="26"/>
        <v>1</v>
      </c>
      <c r="BA380" s="5"/>
      <c r="BB380" s="5"/>
      <c r="BC380" s="5"/>
    </row>
    <row r="381" ht="12.75" customHeight="1">
      <c r="A381" s="25"/>
      <c r="B381" s="27" t="s">
        <v>672</v>
      </c>
      <c r="C381" s="113">
        <v>35000.0</v>
      </c>
      <c r="D381" s="28">
        <v>28825.61</v>
      </c>
      <c r="E381" s="29" t="s">
        <v>49</v>
      </c>
      <c r="F381" s="30">
        <v>43769.0</v>
      </c>
      <c r="G381" s="30" t="s">
        <v>40</v>
      </c>
      <c r="H381" s="30">
        <v>44104.0</v>
      </c>
      <c r="I381" s="32">
        <f t="shared" si="1"/>
        <v>11.16666667</v>
      </c>
      <c r="J381" s="33" t="s">
        <v>129</v>
      </c>
      <c r="K381" s="34">
        <v>35000.0</v>
      </c>
      <c r="L381" s="115">
        <v>3752.57</v>
      </c>
      <c r="M381" s="35">
        <v>2890.51</v>
      </c>
      <c r="N381" s="35">
        <v>0.0</v>
      </c>
      <c r="O381" s="35">
        <f t="shared" si="65"/>
        <v>0</v>
      </c>
      <c r="P381" s="35">
        <f t="shared" si="3"/>
        <v>468.69</v>
      </c>
      <c r="Q381" s="36">
        <f t="shared" si="4"/>
        <v>0.0162594998</v>
      </c>
      <c r="R381" s="36">
        <f t="shared" si="5"/>
        <v>0.9837405002</v>
      </c>
      <c r="S381" s="37"/>
      <c r="T381" s="5"/>
      <c r="U381" s="54">
        <v>2558.48</v>
      </c>
      <c r="V381" s="55">
        <v>2379.55</v>
      </c>
      <c r="W381" s="55">
        <f t="shared" si="62"/>
        <v>4938.03</v>
      </c>
      <c r="X381" s="56">
        <v>0.084</v>
      </c>
      <c r="Y381" s="55">
        <f t="shared" si="63"/>
        <v>1194.091022</v>
      </c>
      <c r="Z381" s="55">
        <f t="shared" si="43"/>
        <v>1194.091022</v>
      </c>
      <c r="AA381" s="57">
        <f t="shared" si="44"/>
        <v>3752.571022</v>
      </c>
      <c r="AB381" s="5"/>
      <c r="AC381" s="42">
        <f t="shared" si="6"/>
        <v>1</v>
      </c>
      <c r="AD381" s="3">
        <f t="shared" si="7"/>
        <v>1</v>
      </c>
      <c r="AE381" s="3">
        <f t="shared" si="8"/>
        <v>1</v>
      </c>
      <c r="AF381" s="43">
        <f t="shared" si="9"/>
        <v>2890.51</v>
      </c>
      <c r="AG381" s="44">
        <f t="shared" si="10"/>
        <v>28825.61</v>
      </c>
      <c r="AH381" s="45">
        <f t="shared" si="11"/>
        <v>11.16666667</v>
      </c>
      <c r="AI381" s="46">
        <f t="shared" si="12"/>
        <v>0.006237950029</v>
      </c>
      <c r="AJ381" s="47">
        <f t="shared" si="13"/>
        <v>0.0001014259472</v>
      </c>
      <c r="AK381" s="5"/>
      <c r="AL381" s="42">
        <f t="shared" si="14"/>
        <v>0</v>
      </c>
      <c r="AM381" s="3">
        <f t="shared" si="15"/>
        <v>1</v>
      </c>
      <c r="AN381" s="3">
        <f t="shared" si="16"/>
        <v>0</v>
      </c>
      <c r="AO381" s="3">
        <f t="shared" si="17"/>
        <v>0</v>
      </c>
      <c r="AP381" s="44">
        <f t="shared" si="18"/>
        <v>0</v>
      </c>
      <c r="AQ381" s="48">
        <f t="shared" si="19"/>
        <v>0</v>
      </c>
      <c r="AR381" s="46">
        <f t="shared" si="20"/>
        <v>0</v>
      </c>
      <c r="AS381" s="47">
        <f t="shared" si="21"/>
        <v>0</v>
      </c>
      <c r="AT381" s="5"/>
      <c r="AU381" s="49">
        <f t="shared" si="27"/>
        <v>28825.61</v>
      </c>
      <c r="AV381" s="50">
        <f t="shared" si="23"/>
        <v>1</v>
      </c>
      <c r="AW381" s="51">
        <f t="shared" si="24"/>
        <v>0.002796752527</v>
      </c>
      <c r="AX381" s="52">
        <f t="shared" si="25"/>
        <v>0.00004547379715</v>
      </c>
      <c r="AY381" s="5"/>
      <c r="AZ381" s="53">
        <f t="shared" si="26"/>
        <v>1</v>
      </c>
      <c r="BA381" s="5"/>
      <c r="BB381" s="5"/>
      <c r="BC381" s="5"/>
    </row>
    <row r="382" ht="12.75" customHeight="1">
      <c r="A382" s="25"/>
      <c r="B382" s="27" t="s">
        <v>673</v>
      </c>
      <c r="C382" s="113">
        <v>50376.0</v>
      </c>
      <c r="D382" s="28">
        <v>47348.8</v>
      </c>
      <c r="E382" s="29" t="s">
        <v>39</v>
      </c>
      <c r="F382" s="30">
        <v>43829.0</v>
      </c>
      <c r="G382" s="30" t="s">
        <v>40</v>
      </c>
      <c r="H382" s="30">
        <v>43890.0</v>
      </c>
      <c r="I382" s="32">
        <f t="shared" si="1"/>
        <v>2.033333333</v>
      </c>
      <c r="J382" s="33" t="s">
        <v>674</v>
      </c>
      <c r="K382" s="34">
        <v>54000.0</v>
      </c>
      <c r="L382" s="115">
        <v>2130.87</v>
      </c>
      <c r="M382" s="35">
        <v>5922.06</v>
      </c>
      <c r="N382" s="35">
        <v>173.16</v>
      </c>
      <c r="O382" s="35">
        <f t="shared" si="65"/>
        <v>0</v>
      </c>
      <c r="P382" s="35">
        <f t="shared" si="3"/>
        <v>1574.89</v>
      </c>
      <c r="Q382" s="36">
        <f t="shared" si="4"/>
        <v>0.03326145541</v>
      </c>
      <c r="R382" s="36">
        <f t="shared" si="5"/>
        <v>0.9667385446</v>
      </c>
      <c r="S382" s="37"/>
      <c r="T382" s="5"/>
      <c r="U382" s="54">
        <v>482.37</v>
      </c>
      <c r="V382" s="55">
        <v>2734.46</v>
      </c>
      <c r="W382" s="55">
        <f t="shared" si="62"/>
        <v>3216.83</v>
      </c>
      <c r="X382" s="56">
        <v>0.0706</v>
      </c>
      <c r="Y382" s="55">
        <f t="shared" si="63"/>
        <v>1648.516576</v>
      </c>
      <c r="Z382" s="55">
        <f t="shared" si="43"/>
        <v>1648.516576</v>
      </c>
      <c r="AA382" s="57">
        <f t="shared" si="44"/>
        <v>2130.886576</v>
      </c>
      <c r="AB382" s="5"/>
      <c r="AC382" s="42">
        <f t="shared" si="6"/>
        <v>0</v>
      </c>
      <c r="AD382" s="3">
        <f t="shared" si="7"/>
        <v>1</v>
      </c>
      <c r="AE382" s="3">
        <f t="shared" si="8"/>
        <v>0</v>
      </c>
      <c r="AF382" s="43">
        <f t="shared" si="9"/>
        <v>0</v>
      </c>
      <c r="AG382" s="44">
        <f t="shared" si="10"/>
        <v>0</v>
      </c>
      <c r="AH382" s="45">
        <f t="shared" si="11"/>
        <v>0</v>
      </c>
      <c r="AI382" s="46">
        <f t="shared" si="12"/>
        <v>0</v>
      </c>
      <c r="AJ382" s="47">
        <f t="shared" si="13"/>
        <v>0</v>
      </c>
      <c r="AK382" s="5"/>
      <c r="AL382" s="42">
        <f t="shared" si="14"/>
        <v>1</v>
      </c>
      <c r="AM382" s="3">
        <f t="shared" si="15"/>
        <v>1</v>
      </c>
      <c r="AN382" s="3">
        <f t="shared" si="16"/>
        <v>1</v>
      </c>
      <c r="AO382" s="3">
        <f t="shared" si="17"/>
        <v>6095.22</v>
      </c>
      <c r="AP382" s="44">
        <f t="shared" si="18"/>
        <v>47348.8</v>
      </c>
      <c r="AQ382" s="48">
        <f t="shared" si="19"/>
        <v>2.033333333</v>
      </c>
      <c r="AR382" s="46">
        <f t="shared" si="20"/>
        <v>0.008306006377</v>
      </c>
      <c r="AS382" s="47">
        <f t="shared" si="21"/>
        <v>0.0002762698608</v>
      </c>
      <c r="AT382" s="5"/>
      <c r="AU382" s="49">
        <f t="shared" si="27"/>
        <v>47348.8</v>
      </c>
      <c r="AV382" s="50">
        <f t="shared" si="23"/>
        <v>1</v>
      </c>
      <c r="AW382" s="51">
        <f t="shared" si="24"/>
        <v>0.00459393144</v>
      </c>
      <c r="AX382" s="52">
        <f t="shared" si="25"/>
        <v>0.0001528008457</v>
      </c>
      <c r="AY382" s="5"/>
      <c r="AZ382" s="53">
        <f t="shared" si="26"/>
        <v>1</v>
      </c>
      <c r="BA382" s="5"/>
      <c r="BB382" s="5"/>
      <c r="BC382" s="5"/>
    </row>
    <row r="383" ht="12.75" customHeight="1">
      <c r="A383" s="25"/>
      <c r="B383" s="27" t="s">
        <v>675</v>
      </c>
      <c r="C383" s="113">
        <v>11694.0</v>
      </c>
      <c r="D383" s="28">
        <v>8977.07</v>
      </c>
      <c r="E383" s="29" t="s">
        <v>49</v>
      </c>
      <c r="F383" s="30">
        <v>43829.0</v>
      </c>
      <c r="G383" s="30" t="s">
        <v>40</v>
      </c>
      <c r="H383" s="30">
        <v>44210.0</v>
      </c>
      <c r="I383" s="32">
        <f t="shared" si="1"/>
        <v>12.7</v>
      </c>
      <c r="J383" s="33" t="s">
        <v>676</v>
      </c>
      <c r="K383" s="34">
        <v>9000.0</v>
      </c>
      <c r="L383" s="115">
        <v>1274.82</v>
      </c>
      <c r="M383" s="35">
        <v>3954.5</v>
      </c>
      <c r="N383" s="35">
        <v>286.06</v>
      </c>
      <c r="O383" s="35">
        <f t="shared" si="65"/>
        <v>0</v>
      </c>
      <c r="P383" s="35">
        <f t="shared" si="3"/>
        <v>5492.45</v>
      </c>
      <c r="Q383" s="36">
        <f t="shared" si="4"/>
        <v>0.6118310317</v>
      </c>
      <c r="R383" s="36">
        <f t="shared" si="5"/>
        <v>0.3881689683</v>
      </c>
      <c r="S383" s="37"/>
      <c r="T383" s="5"/>
      <c r="U383" s="54">
        <v>843.18</v>
      </c>
      <c r="V383" s="55">
        <v>947.2</v>
      </c>
      <c r="W383" s="55">
        <f t="shared" si="62"/>
        <v>1790.38</v>
      </c>
      <c r="X383" s="56">
        <v>0.0975</v>
      </c>
      <c r="Y383" s="55">
        <f t="shared" si="63"/>
        <v>431.6372014</v>
      </c>
      <c r="Z383" s="55">
        <f t="shared" si="43"/>
        <v>431.6372014</v>
      </c>
      <c r="AA383" s="57">
        <f t="shared" si="44"/>
        <v>1274.817201</v>
      </c>
      <c r="AB383" s="5"/>
      <c r="AC383" s="42">
        <f t="shared" si="6"/>
        <v>1</v>
      </c>
      <c r="AD383" s="3">
        <f t="shared" si="7"/>
        <v>1</v>
      </c>
      <c r="AE383" s="3">
        <f t="shared" si="8"/>
        <v>1</v>
      </c>
      <c r="AF383" s="43">
        <f t="shared" si="9"/>
        <v>4240.56</v>
      </c>
      <c r="AG383" s="44">
        <f t="shared" si="10"/>
        <v>8977.07</v>
      </c>
      <c r="AH383" s="45">
        <f t="shared" si="11"/>
        <v>12.7</v>
      </c>
      <c r="AI383" s="46">
        <f t="shared" si="12"/>
        <v>0.001942665361</v>
      </c>
      <c r="AJ383" s="47">
        <f t="shared" si="13"/>
        <v>0.001188582952</v>
      </c>
      <c r="AK383" s="5"/>
      <c r="AL383" s="42">
        <f t="shared" si="14"/>
        <v>0</v>
      </c>
      <c r="AM383" s="3">
        <f t="shared" si="15"/>
        <v>1</v>
      </c>
      <c r="AN383" s="3">
        <f t="shared" si="16"/>
        <v>0</v>
      </c>
      <c r="AO383" s="3">
        <f t="shared" si="17"/>
        <v>0</v>
      </c>
      <c r="AP383" s="44">
        <f t="shared" si="18"/>
        <v>0</v>
      </c>
      <c r="AQ383" s="48">
        <f t="shared" si="19"/>
        <v>0</v>
      </c>
      <c r="AR383" s="46">
        <f t="shared" si="20"/>
        <v>0</v>
      </c>
      <c r="AS383" s="47">
        <f t="shared" si="21"/>
        <v>0</v>
      </c>
      <c r="AT383" s="5"/>
      <c r="AU383" s="49">
        <f t="shared" si="27"/>
        <v>8977.07</v>
      </c>
      <c r="AV383" s="50">
        <f t="shared" si="23"/>
        <v>1</v>
      </c>
      <c r="AW383" s="51">
        <f t="shared" si="24"/>
        <v>0.0008709839343</v>
      </c>
      <c r="AX383" s="52">
        <f t="shared" si="25"/>
        <v>0.0005328949991</v>
      </c>
      <c r="AY383" s="5"/>
      <c r="AZ383" s="53">
        <f t="shared" si="26"/>
        <v>1</v>
      </c>
      <c r="BA383" s="5"/>
      <c r="BB383" s="5"/>
      <c r="BC383" s="5"/>
    </row>
    <row r="384" ht="12.75" customHeight="1">
      <c r="A384" s="25"/>
      <c r="B384" s="27" t="s">
        <v>677</v>
      </c>
      <c r="C384" s="113">
        <v>15390.0</v>
      </c>
      <c r="D384" s="28">
        <v>14035.76</v>
      </c>
      <c r="E384" s="29" t="s">
        <v>49</v>
      </c>
      <c r="F384" s="30">
        <v>43861.0</v>
      </c>
      <c r="G384" s="30" t="s">
        <v>40</v>
      </c>
      <c r="H384" s="30">
        <v>44042.0</v>
      </c>
      <c r="I384" s="32">
        <f t="shared" si="1"/>
        <v>6.033333333</v>
      </c>
      <c r="J384" s="33" t="s">
        <v>129</v>
      </c>
      <c r="K384" s="34">
        <v>15000.0</v>
      </c>
      <c r="L384" s="115">
        <v>892.73</v>
      </c>
      <c r="M384" s="35">
        <v>1503.58</v>
      </c>
      <c r="N384" s="35">
        <v>0.0</v>
      </c>
      <c r="O384" s="35">
        <f t="shared" si="65"/>
        <v>0</v>
      </c>
      <c r="P384" s="35">
        <f t="shared" si="3"/>
        <v>1432.07</v>
      </c>
      <c r="Q384" s="36">
        <f t="shared" si="4"/>
        <v>0.1020301003</v>
      </c>
      <c r="R384" s="36">
        <f t="shared" si="5"/>
        <v>0.8979698997</v>
      </c>
      <c r="S384" s="37"/>
      <c r="T384" s="5"/>
      <c r="U384" s="54">
        <v>242.78</v>
      </c>
      <c r="V384" s="55">
        <v>839.55</v>
      </c>
      <c r="W384" s="55">
        <f t="shared" si="62"/>
        <v>1082.33</v>
      </c>
      <c r="X384" s="56">
        <v>0.0939</v>
      </c>
      <c r="Y384" s="55">
        <f t="shared" si="63"/>
        <v>649.9518233</v>
      </c>
      <c r="Z384" s="55">
        <f t="shared" si="43"/>
        <v>649.9518233</v>
      </c>
      <c r="AA384" s="57">
        <f t="shared" si="44"/>
        <v>892.7318233</v>
      </c>
      <c r="AB384" s="5"/>
      <c r="AC384" s="42">
        <f t="shared" si="6"/>
        <v>1</v>
      </c>
      <c r="AD384" s="3">
        <f t="shared" si="7"/>
        <v>1</v>
      </c>
      <c r="AE384" s="3">
        <f t="shared" si="8"/>
        <v>1</v>
      </c>
      <c r="AF384" s="43">
        <f t="shared" si="9"/>
        <v>1503.58</v>
      </c>
      <c r="AG384" s="44">
        <f t="shared" si="10"/>
        <v>14035.76</v>
      </c>
      <c r="AH384" s="45">
        <f t="shared" si="11"/>
        <v>6.033333333</v>
      </c>
      <c r="AI384" s="46">
        <f t="shared" si="12"/>
        <v>0.003037381325</v>
      </c>
      <c r="AJ384" s="47">
        <f t="shared" si="13"/>
        <v>0.0003099043211</v>
      </c>
      <c r="AK384" s="5"/>
      <c r="AL384" s="42">
        <f t="shared" si="14"/>
        <v>0</v>
      </c>
      <c r="AM384" s="3">
        <f t="shared" si="15"/>
        <v>1</v>
      </c>
      <c r="AN384" s="3">
        <f t="shared" si="16"/>
        <v>0</v>
      </c>
      <c r="AO384" s="3">
        <f t="shared" si="17"/>
        <v>0</v>
      </c>
      <c r="AP384" s="44">
        <f t="shared" si="18"/>
        <v>0</v>
      </c>
      <c r="AQ384" s="48">
        <f t="shared" si="19"/>
        <v>0</v>
      </c>
      <c r="AR384" s="46">
        <f t="shared" si="20"/>
        <v>0</v>
      </c>
      <c r="AS384" s="47">
        <f t="shared" si="21"/>
        <v>0</v>
      </c>
      <c r="AT384" s="5"/>
      <c r="AU384" s="49">
        <f t="shared" si="27"/>
        <v>14035.76</v>
      </c>
      <c r="AV384" s="50">
        <f t="shared" si="23"/>
        <v>1</v>
      </c>
      <c r="AW384" s="51">
        <f t="shared" si="24"/>
        <v>0.001361794156</v>
      </c>
      <c r="AX384" s="52">
        <f t="shared" si="25"/>
        <v>0.0001389439943</v>
      </c>
      <c r="AY384" s="5"/>
      <c r="AZ384" s="53">
        <f t="shared" si="26"/>
        <v>1</v>
      </c>
      <c r="BA384" s="5"/>
      <c r="BB384" s="5"/>
      <c r="BC384" s="5"/>
    </row>
    <row r="385" ht="12.75" customHeight="1">
      <c r="A385" s="25"/>
      <c r="B385" s="27" t="s">
        <v>678</v>
      </c>
      <c r="C385" s="113">
        <v>76500.0</v>
      </c>
      <c r="D385" s="28">
        <v>74818.57</v>
      </c>
      <c r="E385" s="29" t="s">
        <v>39</v>
      </c>
      <c r="F385" s="30">
        <v>43861.0</v>
      </c>
      <c r="G385" s="30" t="s">
        <v>40</v>
      </c>
      <c r="H385" s="30">
        <v>44165.0</v>
      </c>
      <c r="I385" s="32">
        <f t="shared" si="1"/>
        <v>10.13333333</v>
      </c>
      <c r="J385" s="33" t="s">
        <v>129</v>
      </c>
      <c r="K385" s="34">
        <v>76000.0</v>
      </c>
      <c r="L385" s="115">
        <v>4587.67</v>
      </c>
      <c r="M385" s="35">
        <v>7982.96</v>
      </c>
      <c r="N385" s="35">
        <v>1726.4</v>
      </c>
      <c r="O385" s="35">
        <f t="shared" si="65"/>
        <v>0</v>
      </c>
      <c r="P385" s="118">
        <f t="shared" si="3"/>
        <v>13115.6</v>
      </c>
      <c r="Q385" s="36">
        <f t="shared" si="4"/>
        <v>0.175298726</v>
      </c>
      <c r="R385" s="36">
        <f t="shared" si="5"/>
        <v>0.824701274</v>
      </c>
      <c r="S385" s="37"/>
      <c r="T385" s="5"/>
      <c r="U385" s="54">
        <v>1506.78</v>
      </c>
      <c r="V385" s="55">
        <v>12934.46</v>
      </c>
      <c r="W385" s="55">
        <f t="shared" si="62"/>
        <v>14441.24</v>
      </c>
      <c r="X385" s="56">
        <v>0.0835</v>
      </c>
      <c r="Y385" s="55">
        <f t="shared" si="63"/>
        <v>3080.885225</v>
      </c>
      <c r="Z385" s="55">
        <f t="shared" si="43"/>
        <v>3080.885225</v>
      </c>
      <c r="AA385" s="57">
        <f t="shared" si="44"/>
        <v>4587.665225</v>
      </c>
      <c r="AB385" s="5"/>
      <c r="AC385" s="42">
        <f t="shared" si="6"/>
        <v>0</v>
      </c>
      <c r="AD385" s="3">
        <f t="shared" si="7"/>
        <v>1</v>
      </c>
      <c r="AE385" s="3">
        <f t="shared" si="8"/>
        <v>0</v>
      </c>
      <c r="AF385" s="43">
        <f t="shared" si="9"/>
        <v>0</v>
      </c>
      <c r="AG385" s="44">
        <f t="shared" si="10"/>
        <v>0</v>
      </c>
      <c r="AH385" s="45">
        <f t="shared" si="11"/>
        <v>0</v>
      </c>
      <c r="AI385" s="46">
        <f t="shared" si="12"/>
        <v>0</v>
      </c>
      <c r="AJ385" s="47">
        <f t="shared" si="13"/>
        <v>0</v>
      </c>
      <c r="AK385" s="5"/>
      <c r="AL385" s="42">
        <f t="shared" si="14"/>
        <v>1</v>
      </c>
      <c r="AM385" s="3">
        <f t="shared" si="15"/>
        <v>1</v>
      </c>
      <c r="AN385" s="3">
        <f t="shared" si="16"/>
        <v>1</v>
      </c>
      <c r="AO385" s="3">
        <f t="shared" si="17"/>
        <v>9709.36</v>
      </c>
      <c r="AP385" s="44">
        <f t="shared" si="18"/>
        <v>74818.57</v>
      </c>
      <c r="AQ385" s="48">
        <f t="shared" si="19"/>
        <v>10.13333333</v>
      </c>
      <c r="AR385" s="46">
        <f t="shared" si="20"/>
        <v>0.01312479977</v>
      </c>
      <c r="AS385" s="47">
        <f t="shared" si="21"/>
        <v>0.002300760679</v>
      </c>
      <c r="AT385" s="5"/>
      <c r="AU385" s="49">
        <f t="shared" si="27"/>
        <v>74818.57</v>
      </c>
      <c r="AV385" s="50">
        <f t="shared" si="23"/>
        <v>1</v>
      </c>
      <c r="AW385" s="51">
        <f t="shared" si="24"/>
        <v>0.00725913605</v>
      </c>
      <c r="AX385" s="52">
        <f t="shared" si="25"/>
        <v>0.001272517301</v>
      </c>
      <c r="AY385" s="5"/>
      <c r="AZ385" s="53">
        <f t="shared" si="26"/>
        <v>1</v>
      </c>
      <c r="BA385" s="5"/>
      <c r="BB385" s="5"/>
      <c r="BC385" s="5"/>
    </row>
    <row r="386" ht="12.75" customHeight="1">
      <c r="A386" s="25"/>
      <c r="B386" s="27" t="s">
        <v>679</v>
      </c>
      <c r="C386" s="113">
        <v>66091.75</v>
      </c>
      <c r="D386" s="28">
        <v>61811.65</v>
      </c>
      <c r="E386" s="29" t="s">
        <v>39</v>
      </c>
      <c r="F386" s="30">
        <v>43920.0</v>
      </c>
      <c r="G386" s="30" t="s">
        <v>40</v>
      </c>
      <c r="H386" s="30">
        <v>44073.0</v>
      </c>
      <c r="I386" s="32">
        <f t="shared" si="1"/>
        <v>5.1</v>
      </c>
      <c r="J386" s="33" t="s">
        <v>680</v>
      </c>
      <c r="K386" s="34">
        <v>65000.0</v>
      </c>
      <c r="L386" s="65">
        <v>2239.8</v>
      </c>
      <c r="M386" s="35">
        <v>1648.1</v>
      </c>
      <c r="N386" s="35">
        <v>1005.67</v>
      </c>
      <c r="O386" s="35">
        <f t="shared" si="65"/>
        <v>0</v>
      </c>
      <c r="P386" s="35">
        <f t="shared" si="3"/>
        <v>1705.22</v>
      </c>
      <c r="Q386" s="36">
        <f t="shared" si="4"/>
        <v>0.02758735611</v>
      </c>
      <c r="R386" s="36">
        <f t="shared" si="5"/>
        <v>0.9724126439</v>
      </c>
      <c r="S386" s="37"/>
      <c r="T386" s="5"/>
      <c r="U386" s="54">
        <v>102.77</v>
      </c>
      <c r="V386" s="55">
        <v>2034.26</v>
      </c>
      <c r="W386" s="55">
        <f t="shared" si="62"/>
        <v>2137.03</v>
      </c>
      <c r="X386" s="56">
        <v>0.0775</v>
      </c>
      <c r="Y386" s="55">
        <f t="shared" si="63"/>
        <v>2362.390459</v>
      </c>
      <c r="Z386" s="55">
        <f t="shared" si="43"/>
        <v>2137.03</v>
      </c>
      <c r="AA386" s="57">
        <f t="shared" si="44"/>
        <v>2239.8</v>
      </c>
      <c r="AB386" s="5"/>
      <c r="AC386" s="42">
        <f t="shared" si="6"/>
        <v>0</v>
      </c>
      <c r="AD386" s="3">
        <f t="shared" si="7"/>
        <v>1</v>
      </c>
      <c r="AE386" s="3">
        <f t="shared" si="8"/>
        <v>0</v>
      </c>
      <c r="AF386" s="43">
        <f t="shared" si="9"/>
        <v>0</v>
      </c>
      <c r="AG386" s="44">
        <f t="shared" si="10"/>
        <v>0</v>
      </c>
      <c r="AH386" s="45">
        <f t="shared" si="11"/>
        <v>0</v>
      </c>
      <c r="AI386" s="46">
        <f t="shared" si="12"/>
        <v>0</v>
      </c>
      <c r="AJ386" s="47">
        <f t="shared" si="13"/>
        <v>0</v>
      </c>
      <c r="AK386" s="5"/>
      <c r="AL386" s="42">
        <f t="shared" si="14"/>
        <v>1</v>
      </c>
      <c r="AM386" s="3">
        <f t="shared" si="15"/>
        <v>1</v>
      </c>
      <c r="AN386" s="3">
        <f t="shared" si="16"/>
        <v>1</v>
      </c>
      <c r="AO386" s="3">
        <f t="shared" si="17"/>
        <v>2653.77</v>
      </c>
      <c r="AP386" s="44">
        <f t="shared" si="18"/>
        <v>61811.65</v>
      </c>
      <c r="AQ386" s="48">
        <f t="shared" si="19"/>
        <v>5.1</v>
      </c>
      <c r="AR386" s="46">
        <f t="shared" si="20"/>
        <v>0.01084310392</v>
      </c>
      <c r="AS386" s="47">
        <f t="shared" si="21"/>
        <v>0.0002991325692</v>
      </c>
      <c r="AT386" s="5"/>
      <c r="AU386" s="49">
        <f t="shared" si="27"/>
        <v>61811.65</v>
      </c>
      <c r="AV386" s="50">
        <f t="shared" si="23"/>
        <v>1</v>
      </c>
      <c r="AW386" s="51">
        <f t="shared" si="24"/>
        <v>0.005997163228</v>
      </c>
      <c r="AX386" s="52">
        <f t="shared" si="25"/>
        <v>0.0001654458776</v>
      </c>
      <c r="AY386" s="5"/>
      <c r="AZ386" s="53">
        <f t="shared" si="26"/>
        <v>1</v>
      </c>
      <c r="BA386" s="5"/>
      <c r="BB386" s="5"/>
      <c r="BC386" s="5"/>
    </row>
    <row r="387" ht="12.75" customHeight="1">
      <c r="A387" s="25"/>
      <c r="B387" s="27" t="s">
        <v>681</v>
      </c>
      <c r="C387" s="113">
        <v>20700.0</v>
      </c>
      <c r="D387" s="28">
        <v>20700.0</v>
      </c>
      <c r="E387" s="29" t="s">
        <v>49</v>
      </c>
      <c r="F387" s="30">
        <v>43920.0</v>
      </c>
      <c r="G387" s="30" t="s">
        <v>40</v>
      </c>
      <c r="H387" s="30">
        <v>44406.0</v>
      </c>
      <c r="I387" s="32">
        <f t="shared" si="1"/>
        <v>16.2</v>
      </c>
      <c r="J387" s="33" t="s">
        <v>682</v>
      </c>
      <c r="K387" s="34">
        <v>28000.0</v>
      </c>
      <c r="L387" s="115">
        <v>1033.54</v>
      </c>
      <c r="M387" s="35">
        <v>2867.97</v>
      </c>
      <c r="N387" s="35">
        <v>1861.97</v>
      </c>
      <c r="O387" s="35">
        <f t="shared" si="65"/>
        <v>0</v>
      </c>
      <c r="P387" s="35">
        <f t="shared" si="3"/>
        <v>0</v>
      </c>
      <c r="Q387" s="36">
        <f t="shared" si="4"/>
        <v>0</v>
      </c>
      <c r="R387" s="36">
        <f t="shared" si="5"/>
        <v>1</v>
      </c>
      <c r="S387" s="37"/>
      <c r="T387" s="5"/>
      <c r="U387" s="54">
        <v>318.96</v>
      </c>
      <c r="V387" s="55">
        <v>1361.22</v>
      </c>
      <c r="W387" s="55">
        <f t="shared" si="62"/>
        <v>1680.18</v>
      </c>
      <c r="X387" s="56">
        <v>0.07</v>
      </c>
      <c r="Y387" s="55">
        <f t="shared" si="63"/>
        <v>714.5753425</v>
      </c>
      <c r="Z387" s="55">
        <f t="shared" si="43"/>
        <v>714.5753425</v>
      </c>
      <c r="AA387" s="57">
        <f t="shared" si="44"/>
        <v>1033.535342</v>
      </c>
      <c r="AB387" s="5"/>
      <c r="AC387" s="42">
        <f t="shared" si="6"/>
        <v>1</v>
      </c>
      <c r="AD387" s="3">
        <f t="shared" si="7"/>
        <v>1</v>
      </c>
      <c r="AE387" s="3">
        <f t="shared" si="8"/>
        <v>1</v>
      </c>
      <c r="AF387" s="43">
        <f t="shared" si="9"/>
        <v>4729.94</v>
      </c>
      <c r="AG387" s="44">
        <f t="shared" si="10"/>
        <v>20700</v>
      </c>
      <c r="AH387" s="45">
        <f t="shared" si="11"/>
        <v>16.2</v>
      </c>
      <c r="AI387" s="46">
        <f t="shared" si="12"/>
        <v>0.004479543212</v>
      </c>
      <c r="AJ387" s="47">
        <f t="shared" si="13"/>
        <v>0</v>
      </c>
      <c r="AK387" s="5"/>
      <c r="AL387" s="42">
        <f t="shared" si="14"/>
        <v>0</v>
      </c>
      <c r="AM387" s="3">
        <f t="shared" si="15"/>
        <v>1</v>
      </c>
      <c r="AN387" s="3">
        <f t="shared" si="16"/>
        <v>0</v>
      </c>
      <c r="AO387" s="3">
        <f t="shared" si="17"/>
        <v>0</v>
      </c>
      <c r="AP387" s="44">
        <f t="shared" si="18"/>
        <v>0</v>
      </c>
      <c r="AQ387" s="48">
        <f t="shared" si="19"/>
        <v>0</v>
      </c>
      <c r="AR387" s="46">
        <f t="shared" si="20"/>
        <v>0</v>
      </c>
      <c r="AS387" s="47">
        <f t="shared" si="21"/>
        <v>0</v>
      </c>
      <c r="AT387" s="5"/>
      <c r="AU387" s="49">
        <f t="shared" si="27"/>
        <v>20700</v>
      </c>
      <c r="AV387" s="50">
        <f t="shared" si="23"/>
        <v>1</v>
      </c>
      <c r="AW387" s="51">
        <f t="shared" si="24"/>
        <v>0.002008379955</v>
      </c>
      <c r="AX387" s="52">
        <f t="shared" si="25"/>
        <v>0</v>
      </c>
      <c r="AY387" s="5"/>
      <c r="AZ387" s="53">
        <f t="shared" si="26"/>
        <v>1</v>
      </c>
      <c r="BA387" s="5"/>
      <c r="BB387" s="5"/>
      <c r="BC387" s="5"/>
    </row>
    <row r="388" ht="12.75" customHeight="1">
      <c r="A388" s="25"/>
      <c r="B388" s="27" t="s">
        <v>683</v>
      </c>
      <c r="C388" s="113">
        <v>14027.99</v>
      </c>
      <c r="D388" s="28">
        <v>13365.04</v>
      </c>
      <c r="E388" s="29" t="s">
        <v>49</v>
      </c>
      <c r="F388" s="30">
        <v>44012.0</v>
      </c>
      <c r="G388" s="30" t="s">
        <v>40</v>
      </c>
      <c r="H388" s="30">
        <v>44238.0</v>
      </c>
      <c r="I388" s="32">
        <f t="shared" si="1"/>
        <v>7.533333333</v>
      </c>
      <c r="J388" s="33" t="s">
        <v>684</v>
      </c>
      <c r="K388" s="34">
        <v>15000.0</v>
      </c>
      <c r="L388" s="115">
        <v>744.87</v>
      </c>
      <c r="M388" s="35">
        <v>4109.75</v>
      </c>
      <c r="N388" s="35">
        <v>964.41</v>
      </c>
      <c r="O388" s="35">
        <f t="shared" si="65"/>
        <v>0</v>
      </c>
      <c r="P388" s="35">
        <f t="shared" si="3"/>
        <v>4184.07</v>
      </c>
      <c r="Q388" s="36">
        <f t="shared" si="4"/>
        <v>0.3130607914</v>
      </c>
      <c r="R388" s="36">
        <f t="shared" si="5"/>
        <v>0.6869392086</v>
      </c>
      <c r="S388" s="37"/>
      <c r="T388" s="5"/>
      <c r="U388" s="54">
        <v>145.75</v>
      </c>
      <c r="V388" s="55">
        <v>1988.87</v>
      </c>
      <c r="W388" s="55">
        <f t="shared" si="62"/>
        <v>2134.62</v>
      </c>
      <c r="X388" s="56">
        <v>0.0909</v>
      </c>
      <c r="Y388" s="55">
        <f t="shared" si="63"/>
        <v>599.1199575</v>
      </c>
      <c r="Z388" s="55">
        <f t="shared" si="43"/>
        <v>599.1199575</v>
      </c>
      <c r="AA388" s="57">
        <f t="shared" si="44"/>
        <v>744.8699575</v>
      </c>
      <c r="AB388" s="5"/>
      <c r="AC388" s="42">
        <f t="shared" si="6"/>
        <v>1</v>
      </c>
      <c r="AD388" s="3">
        <f t="shared" si="7"/>
        <v>1</v>
      </c>
      <c r="AE388" s="3">
        <f t="shared" si="8"/>
        <v>1</v>
      </c>
      <c r="AF388" s="43">
        <f t="shared" si="9"/>
        <v>5074.16</v>
      </c>
      <c r="AG388" s="44">
        <f t="shared" si="10"/>
        <v>13365.04</v>
      </c>
      <c r="AH388" s="45">
        <f t="shared" si="11"/>
        <v>7.533333333</v>
      </c>
      <c r="AI388" s="46">
        <f t="shared" si="12"/>
        <v>0.002892235469</v>
      </c>
      <c r="AJ388" s="47">
        <f t="shared" si="13"/>
        <v>0.0009054455249</v>
      </c>
      <c r="AK388" s="5"/>
      <c r="AL388" s="42">
        <f t="shared" si="14"/>
        <v>0</v>
      </c>
      <c r="AM388" s="3">
        <f t="shared" si="15"/>
        <v>1</v>
      </c>
      <c r="AN388" s="3">
        <f t="shared" si="16"/>
        <v>0</v>
      </c>
      <c r="AO388" s="3">
        <f t="shared" si="17"/>
        <v>0</v>
      </c>
      <c r="AP388" s="44">
        <f t="shared" si="18"/>
        <v>0</v>
      </c>
      <c r="AQ388" s="48">
        <f t="shared" si="19"/>
        <v>0</v>
      </c>
      <c r="AR388" s="46">
        <f t="shared" si="20"/>
        <v>0</v>
      </c>
      <c r="AS388" s="47">
        <f t="shared" si="21"/>
        <v>0</v>
      </c>
      <c r="AT388" s="5"/>
      <c r="AU388" s="49">
        <f t="shared" si="27"/>
        <v>13365.04</v>
      </c>
      <c r="AV388" s="50">
        <f t="shared" si="23"/>
        <v>1</v>
      </c>
      <c r="AW388" s="51">
        <f t="shared" si="24"/>
        <v>0.001296718765</v>
      </c>
      <c r="AX388" s="52">
        <f t="shared" si="25"/>
        <v>0.0004059518028</v>
      </c>
      <c r="AY388" s="5"/>
      <c r="AZ388" s="53">
        <f t="shared" si="26"/>
        <v>1</v>
      </c>
      <c r="BA388" s="5"/>
      <c r="BB388" s="5"/>
      <c r="BC388" s="5"/>
    </row>
    <row r="389" ht="12.75" customHeight="1">
      <c r="A389" s="25"/>
      <c r="B389" s="27" t="s">
        <v>386</v>
      </c>
      <c r="C389" s="113">
        <v>12000.0</v>
      </c>
      <c r="D389" s="28">
        <v>11719.0</v>
      </c>
      <c r="E389" s="29" t="s">
        <v>39</v>
      </c>
      <c r="F389" s="30">
        <v>44042.0</v>
      </c>
      <c r="G389" s="30" t="s">
        <v>40</v>
      </c>
      <c r="H389" s="30">
        <v>44265.0</v>
      </c>
      <c r="I389" s="32">
        <f t="shared" si="1"/>
        <v>7.433333333</v>
      </c>
      <c r="J389" s="33" t="s">
        <v>216</v>
      </c>
      <c r="K389" s="34">
        <v>10000.0</v>
      </c>
      <c r="L389" s="115">
        <v>503.14</v>
      </c>
      <c r="M389" s="35">
        <v>0.0</v>
      </c>
      <c r="N389" s="35">
        <v>0.0</v>
      </c>
      <c r="O389" s="35">
        <f t="shared" si="65"/>
        <v>1719</v>
      </c>
      <c r="P389" s="35">
        <f t="shared" si="3"/>
        <v>2222.14</v>
      </c>
      <c r="Q389" s="36">
        <f t="shared" si="4"/>
        <v>0.1896185681</v>
      </c>
      <c r="R389" s="36">
        <f t="shared" si="5"/>
        <v>0.8103814319</v>
      </c>
      <c r="S389" s="37"/>
      <c r="T389" s="5"/>
      <c r="U389" s="54">
        <f>21.99+17.2+13.2+2.86</f>
        <v>55.25</v>
      </c>
      <c r="V389" s="55">
        <v>872.57</v>
      </c>
      <c r="W389" s="55">
        <f t="shared" si="62"/>
        <v>927.82</v>
      </c>
      <c r="X389" s="56">
        <v>0.0775</v>
      </c>
      <c r="Y389" s="55">
        <f t="shared" si="63"/>
        <v>447.8905479</v>
      </c>
      <c r="Z389" s="55">
        <f t="shared" si="43"/>
        <v>447.8905479</v>
      </c>
      <c r="AA389" s="57">
        <f t="shared" si="44"/>
        <v>503.1405479</v>
      </c>
      <c r="AB389" s="5"/>
      <c r="AC389" s="42">
        <f t="shared" si="6"/>
        <v>0</v>
      </c>
      <c r="AD389" s="3">
        <f t="shared" si="7"/>
        <v>1</v>
      </c>
      <c r="AE389" s="3">
        <f t="shared" si="8"/>
        <v>0</v>
      </c>
      <c r="AF389" s="43">
        <f t="shared" si="9"/>
        <v>0</v>
      </c>
      <c r="AG389" s="44">
        <f t="shared" si="10"/>
        <v>0</v>
      </c>
      <c r="AH389" s="45">
        <f t="shared" si="11"/>
        <v>0</v>
      </c>
      <c r="AI389" s="46">
        <f t="shared" si="12"/>
        <v>0</v>
      </c>
      <c r="AJ389" s="47">
        <f t="shared" si="13"/>
        <v>0</v>
      </c>
      <c r="AK389" s="5"/>
      <c r="AL389" s="42">
        <f t="shared" si="14"/>
        <v>1</v>
      </c>
      <c r="AM389" s="3">
        <f t="shared" si="15"/>
        <v>1</v>
      </c>
      <c r="AN389" s="3">
        <f t="shared" si="16"/>
        <v>1</v>
      </c>
      <c r="AO389" s="3">
        <f t="shared" si="17"/>
        <v>0</v>
      </c>
      <c r="AP389" s="44">
        <f t="shared" si="18"/>
        <v>11719</v>
      </c>
      <c r="AQ389" s="48">
        <f t="shared" si="19"/>
        <v>7.433333333</v>
      </c>
      <c r="AR389" s="46">
        <f t="shared" si="20"/>
        <v>0.002055766751</v>
      </c>
      <c r="AS389" s="47">
        <f t="shared" si="21"/>
        <v>0.0003898115477</v>
      </c>
      <c r="AT389" s="5"/>
      <c r="AU389" s="49">
        <f t="shared" si="27"/>
        <v>11719</v>
      </c>
      <c r="AV389" s="50">
        <f t="shared" si="23"/>
        <v>1</v>
      </c>
      <c r="AW389" s="51">
        <f t="shared" si="24"/>
        <v>0.001137014719</v>
      </c>
      <c r="AX389" s="52">
        <f t="shared" si="25"/>
        <v>0.000215599103</v>
      </c>
      <c r="AY389" s="5"/>
      <c r="AZ389" s="53">
        <f t="shared" si="26"/>
        <v>1</v>
      </c>
      <c r="BA389" s="5"/>
      <c r="BB389" s="5"/>
      <c r="BC389" s="5"/>
    </row>
    <row r="390" ht="12.75" customHeight="1">
      <c r="A390" s="25"/>
      <c r="B390" s="27" t="s">
        <v>685</v>
      </c>
      <c r="C390" s="113">
        <v>16000.0</v>
      </c>
      <c r="D390" s="28">
        <v>99048.89</v>
      </c>
      <c r="E390" s="29" t="s">
        <v>49</v>
      </c>
      <c r="F390" s="30">
        <v>44104.0</v>
      </c>
      <c r="G390" s="30" t="s">
        <v>40</v>
      </c>
      <c r="H390" s="30">
        <v>44165.0</v>
      </c>
      <c r="I390" s="32">
        <f t="shared" si="1"/>
        <v>2.033333333</v>
      </c>
      <c r="J390" s="33" t="s">
        <v>686</v>
      </c>
      <c r="K390" s="34">
        <v>118000.0</v>
      </c>
      <c r="L390" s="115">
        <v>5943.77</v>
      </c>
      <c r="M390" s="35">
        <v>8962.72</v>
      </c>
      <c r="N390" s="35">
        <v>2447.7</v>
      </c>
      <c r="O390" s="35">
        <f t="shared" si="65"/>
        <v>0</v>
      </c>
      <c r="P390" s="35">
        <f t="shared" si="3"/>
        <v>0</v>
      </c>
      <c r="Q390" s="36">
        <f t="shared" si="4"/>
        <v>0</v>
      </c>
      <c r="R390" s="36">
        <f t="shared" si="5"/>
        <v>1</v>
      </c>
      <c r="S390" s="37"/>
      <c r="T390" s="5"/>
      <c r="U390" s="54">
        <v>1889.55</v>
      </c>
      <c r="V390" s="55">
        <v>5274.95</v>
      </c>
      <c r="W390" s="55">
        <f t="shared" si="62"/>
        <v>7164.5</v>
      </c>
      <c r="X390" s="56">
        <v>0.083</v>
      </c>
      <c r="Y390" s="55">
        <f t="shared" si="63"/>
        <v>4054.220319</v>
      </c>
      <c r="Z390" s="55">
        <f t="shared" si="43"/>
        <v>4054.220319</v>
      </c>
      <c r="AA390" s="57">
        <f t="shared" si="44"/>
        <v>5943.770319</v>
      </c>
      <c r="AB390" s="5"/>
      <c r="AC390" s="42">
        <f t="shared" si="6"/>
        <v>1</v>
      </c>
      <c r="AD390" s="3">
        <f t="shared" si="7"/>
        <v>1</v>
      </c>
      <c r="AE390" s="3">
        <f t="shared" si="8"/>
        <v>1</v>
      </c>
      <c r="AF390" s="43">
        <f t="shared" si="9"/>
        <v>11410.42</v>
      </c>
      <c r="AG390" s="44">
        <f t="shared" si="10"/>
        <v>99048.89</v>
      </c>
      <c r="AH390" s="45">
        <f t="shared" si="11"/>
        <v>2.033333333</v>
      </c>
      <c r="AI390" s="46">
        <f t="shared" si="12"/>
        <v>0.02143448226</v>
      </c>
      <c r="AJ390" s="47">
        <f t="shared" si="13"/>
        <v>0</v>
      </c>
      <c r="AK390" s="5"/>
      <c r="AL390" s="42">
        <f t="shared" si="14"/>
        <v>0</v>
      </c>
      <c r="AM390" s="3">
        <f t="shared" si="15"/>
        <v>1</v>
      </c>
      <c r="AN390" s="3">
        <f t="shared" si="16"/>
        <v>0</v>
      </c>
      <c r="AO390" s="3">
        <f t="shared" si="17"/>
        <v>0</v>
      </c>
      <c r="AP390" s="44">
        <f t="shared" si="18"/>
        <v>0</v>
      </c>
      <c r="AQ390" s="48">
        <f t="shared" si="19"/>
        <v>0</v>
      </c>
      <c r="AR390" s="46">
        <f t="shared" si="20"/>
        <v>0</v>
      </c>
      <c r="AS390" s="47">
        <f t="shared" si="21"/>
        <v>0</v>
      </c>
      <c r="AT390" s="5"/>
      <c r="AU390" s="49">
        <f t="shared" si="27"/>
        <v>99048.89</v>
      </c>
      <c r="AV390" s="50">
        <f t="shared" si="23"/>
        <v>1</v>
      </c>
      <c r="AW390" s="51">
        <f t="shared" si="24"/>
        <v>0.009610038899</v>
      </c>
      <c r="AX390" s="52">
        <f t="shared" si="25"/>
        <v>0</v>
      </c>
      <c r="AY390" s="5"/>
      <c r="AZ390" s="53">
        <f t="shared" si="26"/>
        <v>1</v>
      </c>
      <c r="BA390" s="5"/>
      <c r="BB390" s="5"/>
      <c r="BC390" s="5"/>
    </row>
    <row r="391" ht="12.75" customHeight="1">
      <c r="A391" s="25"/>
      <c r="B391" s="27" t="s">
        <v>687</v>
      </c>
      <c r="C391" s="113">
        <v>54941.73</v>
      </c>
      <c r="D391" s="28">
        <v>52084.0</v>
      </c>
      <c r="E391" s="29" t="s">
        <v>49</v>
      </c>
      <c r="F391" s="30">
        <v>44104.0</v>
      </c>
      <c r="G391" s="30" t="s">
        <v>40</v>
      </c>
      <c r="H391" s="30">
        <v>44337.0</v>
      </c>
      <c r="I391" s="32">
        <f t="shared" si="1"/>
        <v>7.766666667</v>
      </c>
      <c r="J391" s="33" t="s">
        <v>66</v>
      </c>
      <c r="K391" s="34">
        <v>62000.0</v>
      </c>
      <c r="L391" s="115">
        <v>8795.53</v>
      </c>
      <c r="M391" s="35">
        <v>7540.49</v>
      </c>
      <c r="N391" s="35">
        <v>130.08</v>
      </c>
      <c r="O391" s="35">
        <f t="shared" si="65"/>
        <v>0</v>
      </c>
      <c r="P391" s="35">
        <f t="shared" si="3"/>
        <v>6550.1</v>
      </c>
      <c r="Q391" s="36">
        <f t="shared" si="4"/>
        <v>0.1257603103</v>
      </c>
      <c r="R391" s="36">
        <f t="shared" si="5"/>
        <v>0.8742396897</v>
      </c>
      <c r="S391" s="37"/>
      <c r="T391" s="5"/>
      <c r="U391" s="54">
        <v>6884.55</v>
      </c>
      <c r="V391" s="55">
        <v>6765.82</v>
      </c>
      <c r="W391" s="55">
        <f t="shared" si="62"/>
        <v>13650.37</v>
      </c>
      <c r="X391" s="56">
        <v>0.0744</v>
      </c>
      <c r="Y391" s="55">
        <f t="shared" si="63"/>
        <v>1910.983364</v>
      </c>
      <c r="Z391" s="55">
        <f t="shared" si="43"/>
        <v>1910.983364</v>
      </c>
      <c r="AA391" s="57">
        <f t="shared" si="44"/>
        <v>8795.533364</v>
      </c>
      <c r="AB391" s="5"/>
      <c r="AC391" s="42">
        <f t="shared" si="6"/>
        <v>1</v>
      </c>
      <c r="AD391" s="3">
        <f t="shared" si="7"/>
        <v>1</v>
      </c>
      <c r="AE391" s="3">
        <f t="shared" si="8"/>
        <v>1</v>
      </c>
      <c r="AF391" s="43">
        <f t="shared" si="9"/>
        <v>7670.57</v>
      </c>
      <c r="AG391" s="44">
        <f t="shared" si="10"/>
        <v>52084</v>
      </c>
      <c r="AH391" s="45">
        <f t="shared" si="11"/>
        <v>7.766666667</v>
      </c>
      <c r="AI391" s="46">
        <f t="shared" si="12"/>
        <v>0.01127113665</v>
      </c>
      <c r="AJ391" s="47">
        <f t="shared" si="13"/>
        <v>0.001417461642</v>
      </c>
      <c r="AK391" s="5"/>
      <c r="AL391" s="42">
        <f t="shared" si="14"/>
        <v>0</v>
      </c>
      <c r="AM391" s="3">
        <f t="shared" si="15"/>
        <v>1</v>
      </c>
      <c r="AN391" s="3">
        <f t="shared" si="16"/>
        <v>0</v>
      </c>
      <c r="AO391" s="3">
        <f t="shared" si="17"/>
        <v>0</v>
      </c>
      <c r="AP391" s="44">
        <f t="shared" si="18"/>
        <v>0</v>
      </c>
      <c r="AQ391" s="48">
        <f t="shared" si="19"/>
        <v>0</v>
      </c>
      <c r="AR391" s="46">
        <f t="shared" si="20"/>
        <v>0</v>
      </c>
      <c r="AS391" s="47">
        <f t="shared" si="21"/>
        <v>0</v>
      </c>
      <c r="AT391" s="5"/>
      <c r="AU391" s="49">
        <f t="shared" si="27"/>
        <v>52084</v>
      </c>
      <c r="AV391" s="50">
        <f t="shared" si="23"/>
        <v>1</v>
      </c>
      <c r="AW391" s="51">
        <f t="shared" si="24"/>
        <v>0.005053355631</v>
      </c>
      <c r="AX391" s="52">
        <f t="shared" si="25"/>
        <v>0.000635511572</v>
      </c>
      <c r="AY391" s="5"/>
      <c r="AZ391" s="53">
        <f t="shared" si="26"/>
        <v>1</v>
      </c>
      <c r="BA391" s="5"/>
      <c r="BB391" s="5"/>
      <c r="BC391" s="5"/>
    </row>
    <row r="392" ht="12.75" customHeight="1">
      <c r="A392" s="25"/>
      <c r="B392" s="27" t="s">
        <v>688</v>
      </c>
      <c r="C392" s="113">
        <v>18900.0</v>
      </c>
      <c r="D392" s="28">
        <v>13756.85</v>
      </c>
      <c r="E392" s="29" t="s">
        <v>49</v>
      </c>
      <c r="F392" s="30">
        <v>44134.0</v>
      </c>
      <c r="G392" s="30" t="s">
        <v>40</v>
      </c>
      <c r="H392" s="30">
        <v>44165.0</v>
      </c>
      <c r="I392" s="32">
        <f t="shared" si="1"/>
        <v>1.033333333</v>
      </c>
      <c r="J392" s="33" t="s">
        <v>689</v>
      </c>
      <c r="K392" s="34">
        <v>32000.0</v>
      </c>
      <c r="L392" s="115">
        <v>2376.78</v>
      </c>
      <c r="M392" s="35">
        <v>6455.78</v>
      </c>
      <c r="N392" s="35">
        <v>0.0</v>
      </c>
      <c r="O392" s="35">
        <f t="shared" si="65"/>
        <v>0</v>
      </c>
      <c r="P392" s="35">
        <f t="shared" si="3"/>
        <v>0</v>
      </c>
      <c r="Q392" s="36">
        <f t="shared" si="4"/>
        <v>0</v>
      </c>
      <c r="R392" s="36">
        <f t="shared" si="5"/>
        <v>1</v>
      </c>
      <c r="S392" s="37"/>
      <c r="T392" s="5"/>
      <c r="U392" s="54">
        <v>1851.0</v>
      </c>
      <c r="V392" s="55">
        <v>2760.16</v>
      </c>
      <c r="W392" s="55">
        <f t="shared" si="62"/>
        <v>4611.16</v>
      </c>
      <c r="X392" s="56">
        <v>0.0775</v>
      </c>
      <c r="Y392" s="55">
        <f t="shared" si="63"/>
        <v>525.7755</v>
      </c>
      <c r="Z392" s="55">
        <f t="shared" si="43"/>
        <v>525.7755</v>
      </c>
      <c r="AA392" s="57">
        <f t="shared" si="44"/>
        <v>2376.7755</v>
      </c>
      <c r="AB392" s="5"/>
      <c r="AC392" s="42">
        <f t="shared" si="6"/>
        <v>1</v>
      </c>
      <c r="AD392" s="3">
        <f t="shared" si="7"/>
        <v>1</v>
      </c>
      <c r="AE392" s="3">
        <f t="shared" si="8"/>
        <v>1</v>
      </c>
      <c r="AF392" s="43">
        <f t="shared" si="9"/>
        <v>6455.78</v>
      </c>
      <c r="AG392" s="44">
        <f t="shared" si="10"/>
        <v>13756.85</v>
      </c>
      <c r="AH392" s="45">
        <f t="shared" si="11"/>
        <v>1.033333333</v>
      </c>
      <c r="AI392" s="46">
        <f t="shared" si="12"/>
        <v>0.002977024349</v>
      </c>
      <c r="AJ392" s="47">
        <f t="shared" si="13"/>
        <v>0</v>
      </c>
      <c r="AK392" s="5"/>
      <c r="AL392" s="42">
        <f t="shared" si="14"/>
        <v>0</v>
      </c>
      <c r="AM392" s="3">
        <f t="shared" si="15"/>
        <v>1</v>
      </c>
      <c r="AN392" s="3">
        <f t="shared" si="16"/>
        <v>0</v>
      </c>
      <c r="AO392" s="3">
        <f t="shared" si="17"/>
        <v>0</v>
      </c>
      <c r="AP392" s="44">
        <f t="shared" si="18"/>
        <v>0</v>
      </c>
      <c r="AQ392" s="48">
        <f t="shared" si="19"/>
        <v>0</v>
      </c>
      <c r="AR392" s="46">
        <f t="shared" si="20"/>
        <v>0</v>
      </c>
      <c r="AS392" s="47">
        <f t="shared" si="21"/>
        <v>0</v>
      </c>
      <c r="AT392" s="5"/>
      <c r="AU392" s="49">
        <f t="shared" si="27"/>
        <v>13756.85</v>
      </c>
      <c r="AV392" s="50">
        <f t="shared" si="23"/>
        <v>1</v>
      </c>
      <c r="AW392" s="51">
        <f t="shared" si="24"/>
        <v>0.001334733419</v>
      </c>
      <c r="AX392" s="52">
        <f t="shared" si="25"/>
        <v>0</v>
      </c>
      <c r="AY392" s="5"/>
      <c r="AZ392" s="53">
        <f t="shared" si="26"/>
        <v>1</v>
      </c>
      <c r="BA392" s="5"/>
      <c r="BB392" s="5"/>
      <c r="BC392" s="5"/>
    </row>
    <row r="393" ht="12.75" customHeight="1">
      <c r="A393" s="25"/>
      <c r="B393" s="27" t="s">
        <v>690</v>
      </c>
      <c r="C393" s="113">
        <v>15750.0</v>
      </c>
      <c r="D393" s="28">
        <v>13854.1</v>
      </c>
      <c r="E393" s="29" t="s">
        <v>39</v>
      </c>
      <c r="F393" s="30">
        <v>44165.0</v>
      </c>
      <c r="G393" s="30" t="s">
        <v>40</v>
      </c>
      <c r="H393" s="30">
        <v>44609.0</v>
      </c>
      <c r="I393" s="32">
        <f t="shared" si="1"/>
        <v>14.8</v>
      </c>
      <c r="J393" s="33" t="s">
        <v>691</v>
      </c>
      <c r="K393" s="34">
        <v>10000.0</v>
      </c>
      <c r="L393" s="115">
        <v>1228.45</v>
      </c>
      <c r="M393" s="35">
        <v>2212.2</v>
      </c>
      <c r="N393" s="35">
        <v>55.0</v>
      </c>
      <c r="O393" s="35">
        <f t="shared" si="65"/>
        <v>3854.1</v>
      </c>
      <c r="P393" s="35">
        <f t="shared" si="3"/>
        <v>7349.75</v>
      </c>
      <c r="Q393" s="36">
        <f t="shared" si="4"/>
        <v>0.5305108235</v>
      </c>
      <c r="R393" s="36">
        <f t="shared" si="5"/>
        <v>0.4694891765</v>
      </c>
      <c r="S393" s="37"/>
      <c r="T393" s="5"/>
      <c r="U393" s="54">
        <v>584.18</v>
      </c>
      <c r="V393" s="55">
        <v>1159.64</v>
      </c>
      <c r="W393" s="55">
        <f>V393+U393</f>
        <v>1743.82</v>
      </c>
      <c r="X393" s="56">
        <v>0.0943</v>
      </c>
      <c r="Y393" s="55">
        <f t="shared" si="63"/>
        <v>644.2725847</v>
      </c>
      <c r="Z393" s="55">
        <f t="shared" si="43"/>
        <v>644.2725847</v>
      </c>
      <c r="AA393" s="57">
        <f t="shared" si="44"/>
        <v>1228.452585</v>
      </c>
      <c r="AB393" s="5"/>
      <c r="AC393" s="42">
        <f t="shared" si="6"/>
        <v>0</v>
      </c>
      <c r="AD393" s="3">
        <f t="shared" si="7"/>
        <v>1</v>
      </c>
      <c r="AE393" s="3">
        <f t="shared" si="8"/>
        <v>0</v>
      </c>
      <c r="AF393" s="43">
        <f t="shared" si="9"/>
        <v>0</v>
      </c>
      <c r="AG393" s="44">
        <f t="shared" si="10"/>
        <v>0</v>
      </c>
      <c r="AH393" s="45">
        <f t="shared" si="11"/>
        <v>0</v>
      </c>
      <c r="AI393" s="46">
        <f t="shared" si="12"/>
        <v>0</v>
      </c>
      <c r="AJ393" s="47">
        <f t="shared" si="13"/>
        <v>0</v>
      </c>
      <c r="AK393" s="5"/>
      <c r="AL393" s="42">
        <f t="shared" si="14"/>
        <v>1</v>
      </c>
      <c r="AM393" s="3">
        <f t="shared" si="15"/>
        <v>1</v>
      </c>
      <c r="AN393" s="3">
        <f t="shared" si="16"/>
        <v>1</v>
      </c>
      <c r="AO393" s="3">
        <f t="shared" si="17"/>
        <v>2267.2</v>
      </c>
      <c r="AP393" s="44">
        <f t="shared" si="18"/>
        <v>13854.1</v>
      </c>
      <c r="AQ393" s="48">
        <f t="shared" si="19"/>
        <v>14.8</v>
      </c>
      <c r="AR393" s="46">
        <f t="shared" si="20"/>
        <v>0.002430309595</v>
      </c>
      <c r="AS393" s="47">
        <f t="shared" si="21"/>
        <v>0.001289305545</v>
      </c>
      <c r="AT393" s="5"/>
      <c r="AU393" s="49">
        <f t="shared" si="27"/>
        <v>13854.1</v>
      </c>
      <c r="AV393" s="50">
        <f t="shared" si="23"/>
        <v>1</v>
      </c>
      <c r="AW393" s="51">
        <f t="shared" si="24"/>
        <v>0.001344168924</v>
      </c>
      <c r="AX393" s="52">
        <f t="shared" si="25"/>
        <v>0.0007130961629</v>
      </c>
      <c r="AY393" s="5"/>
      <c r="AZ393" s="53">
        <f t="shared" si="26"/>
        <v>1</v>
      </c>
      <c r="BA393" s="5"/>
      <c r="BB393" s="5"/>
      <c r="BC393" s="5"/>
    </row>
    <row r="394" ht="12.75" customHeight="1">
      <c r="A394" s="25"/>
      <c r="B394" s="27" t="s">
        <v>692</v>
      </c>
      <c r="C394" s="113">
        <v>23500.0</v>
      </c>
      <c r="D394" s="28">
        <v>18727.06</v>
      </c>
      <c r="E394" s="29" t="s">
        <v>49</v>
      </c>
      <c r="F394" s="30">
        <v>44196.0</v>
      </c>
      <c r="G394" s="30" t="s">
        <v>40</v>
      </c>
      <c r="H394" s="30">
        <v>44284.0</v>
      </c>
      <c r="I394" s="32">
        <f t="shared" si="1"/>
        <v>2.933333333</v>
      </c>
      <c r="J394" s="33" t="s">
        <v>693</v>
      </c>
      <c r="K394" s="34">
        <v>20000.0</v>
      </c>
      <c r="L394" s="115">
        <v>1247.67</v>
      </c>
      <c r="M394" s="35">
        <v>4739.17</v>
      </c>
      <c r="N394" s="35">
        <v>948.82</v>
      </c>
      <c r="O394" s="35">
        <f t="shared" si="65"/>
        <v>0</v>
      </c>
      <c r="P394" s="35">
        <f t="shared" si="3"/>
        <v>5662.72</v>
      </c>
      <c r="Q394" s="36">
        <f t="shared" si="4"/>
        <v>0.3023816872</v>
      </c>
      <c r="R394" s="36">
        <f t="shared" si="5"/>
        <v>0.6976183128</v>
      </c>
      <c r="S394" s="37"/>
      <c r="T394" s="5"/>
      <c r="U394" s="54">
        <v>354.62</v>
      </c>
      <c r="V394" s="55">
        <v>882.06</v>
      </c>
      <c r="W394" s="55">
        <f t="shared" ref="W394:W410" si="66">U394+V394</f>
        <v>1236.68</v>
      </c>
      <c r="X394" s="56">
        <v>0.0967</v>
      </c>
      <c r="Y394" s="55">
        <f t="shared" si="63"/>
        <v>893.0498804</v>
      </c>
      <c r="Z394" s="55">
        <f t="shared" si="43"/>
        <v>893.0498804</v>
      </c>
      <c r="AA394" s="57">
        <f t="shared" si="44"/>
        <v>1247.66988</v>
      </c>
      <c r="AB394" s="5"/>
      <c r="AC394" s="42">
        <f t="shared" si="6"/>
        <v>1</v>
      </c>
      <c r="AD394" s="3">
        <f t="shared" si="7"/>
        <v>1</v>
      </c>
      <c r="AE394" s="3">
        <f t="shared" si="8"/>
        <v>1</v>
      </c>
      <c r="AF394" s="43">
        <f t="shared" si="9"/>
        <v>5687.99</v>
      </c>
      <c r="AG394" s="44">
        <f t="shared" si="10"/>
        <v>18727.06</v>
      </c>
      <c r="AH394" s="45">
        <f t="shared" si="11"/>
        <v>2.933333333</v>
      </c>
      <c r="AI394" s="46">
        <f t="shared" si="12"/>
        <v>0.004052592971</v>
      </c>
      <c r="AJ394" s="47">
        <f t="shared" si="13"/>
        <v>0.0012254299</v>
      </c>
      <c r="AK394" s="5"/>
      <c r="AL394" s="42">
        <f t="shared" si="14"/>
        <v>0</v>
      </c>
      <c r="AM394" s="3">
        <f t="shared" si="15"/>
        <v>1</v>
      </c>
      <c r="AN394" s="3">
        <f t="shared" si="16"/>
        <v>0</v>
      </c>
      <c r="AO394" s="3">
        <f t="shared" si="17"/>
        <v>0</v>
      </c>
      <c r="AP394" s="44">
        <f t="shared" si="18"/>
        <v>0</v>
      </c>
      <c r="AQ394" s="48">
        <f t="shared" si="19"/>
        <v>0</v>
      </c>
      <c r="AR394" s="46">
        <f t="shared" si="20"/>
        <v>0</v>
      </c>
      <c r="AS394" s="47">
        <f t="shared" si="21"/>
        <v>0</v>
      </c>
      <c r="AT394" s="5"/>
      <c r="AU394" s="49">
        <f t="shared" si="27"/>
        <v>18727.06</v>
      </c>
      <c r="AV394" s="50">
        <f t="shared" si="23"/>
        <v>1</v>
      </c>
      <c r="AW394" s="51">
        <f t="shared" si="24"/>
        <v>0.00181695903</v>
      </c>
      <c r="AX394" s="52">
        <f t="shared" si="25"/>
        <v>0.0005494151371</v>
      </c>
      <c r="AY394" s="5"/>
      <c r="AZ394" s="53">
        <f t="shared" si="26"/>
        <v>1</v>
      </c>
      <c r="BA394" s="5"/>
      <c r="BB394" s="5"/>
      <c r="BC394" s="5"/>
    </row>
    <row r="395" ht="12.75" customHeight="1">
      <c r="A395" s="25"/>
      <c r="B395" s="27" t="s">
        <v>694</v>
      </c>
      <c r="C395" s="113">
        <v>13120.7</v>
      </c>
      <c r="D395" s="28">
        <v>11566.89</v>
      </c>
      <c r="E395" s="29" t="s">
        <v>49</v>
      </c>
      <c r="F395" s="30">
        <v>44248.0</v>
      </c>
      <c r="G395" s="30" t="s">
        <v>40</v>
      </c>
      <c r="H395" s="30">
        <v>44290.0</v>
      </c>
      <c r="I395" s="32">
        <f t="shared" si="1"/>
        <v>1.4</v>
      </c>
      <c r="J395" s="33" t="s">
        <v>695</v>
      </c>
      <c r="K395" s="34">
        <v>15000.0</v>
      </c>
      <c r="L395" s="115">
        <v>934.55</v>
      </c>
      <c r="M395" s="35">
        <v>4012.98</v>
      </c>
      <c r="N395" s="35">
        <v>129.04</v>
      </c>
      <c r="O395" s="35">
        <f t="shared" si="65"/>
        <v>0</v>
      </c>
      <c r="P395" s="35">
        <f t="shared" si="3"/>
        <v>1643.46</v>
      </c>
      <c r="Q395" s="36">
        <f t="shared" si="4"/>
        <v>0.1420831356</v>
      </c>
      <c r="R395" s="36">
        <f t="shared" si="5"/>
        <v>0.8579168644</v>
      </c>
      <c r="S395" s="37"/>
      <c r="T395" s="5"/>
      <c r="U395" s="119">
        <v>368.69</v>
      </c>
      <c r="V395" s="120">
        <v>2030.13</v>
      </c>
      <c r="W395" s="120">
        <f t="shared" si="66"/>
        <v>2398.82</v>
      </c>
      <c r="X395" s="121">
        <v>0.0992</v>
      </c>
      <c r="Y395" s="55">
        <f t="shared" si="63"/>
        <v>565.8585968</v>
      </c>
      <c r="Z395" s="55">
        <f t="shared" si="43"/>
        <v>565.8585968</v>
      </c>
      <c r="AA395" s="57">
        <f t="shared" si="44"/>
        <v>934.5485968</v>
      </c>
      <c r="AB395" s="5"/>
      <c r="AC395" s="42">
        <f t="shared" si="6"/>
        <v>1</v>
      </c>
      <c r="AD395" s="3">
        <f t="shared" si="7"/>
        <v>1</v>
      </c>
      <c r="AE395" s="3">
        <f t="shared" si="8"/>
        <v>1</v>
      </c>
      <c r="AF395" s="43">
        <f t="shared" si="9"/>
        <v>4142.02</v>
      </c>
      <c r="AG395" s="44">
        <f t="shared" si="10"/>
        <v>11566.89</v>
      </c>
      <c r="AH395" s="45">
        <f t="shared" si="11"/>
        <v>1.4</v>
      </c>
      <c r="AI395" s="46">
        <f t="shared" si="12"/>
        <v>0.002503110318</v>
      </c>
      <c r="AJ395" s="47">
        <f t="shared" si="13"/>
        <v>0.0003556497626</v>
      </c>
      <c r="AK395" s="5"/>
      <c r="AL395" s="42">
        <f t="shared" si="14"/>
        <v>0</v>
      </c>
      <c r="AM395" s="3">
        <f t="shared" si="15"/>
        <v>1</v>
      </c>
      <c r="AN395" s="3">
        <f t="shared" si="16"/>
        <v>0</v>
      </c>
      <c r="AO395" s="3">
        <f t="shared" si="17"/>
        <v>0</v>
      </c>
      <c r="AP395" s="44">
        <f t="shared" si="18"/>
        <v>0</v>
      </c>
      <c r="AQ395" s="48">
        <f t="shared" si="19"/>
        <v>0</v>
      </c>
      <c r="AR395" s="46">
        <f t="shared" si="20"/>
        <v>0</v>
      </c>
      <c r="AS395" s="47">
        <f t="shared" si="21"/>
        <v>0</v>
      </c>
      <c r="AT395" s="5"/>
      <c r="AU395" s="49">
        <f t="shared" si="27"/>
        <v>11566.89</v>
      </c>
      <c r="AV395" s="50">
        <f t="shared" si="23"/>
        <v>1</v>
      </c>
      <c r="AW395" s="51">
        <f t="shared" si="24"/>
        <v>0.001122256522</v>
      </c>
      <c r="AX395" s="52">
        <f t="shared" si="25"/>
        <v>0.0001594537256</v>
      </c>
      <c r="AY395" s="5"/>
      <c r="AZ395" s="53">
        <f t="shared" si="26"/>
        <v>1</v>
      </c>
      <c r="BA395" s="5"/>
      <c r="BB395" s="5"/>
      <c r="BC395" s="5"/>
    </row>
    <row r="396" ht="12.75" customHeight="1">
      <c r="A396" s="25"/>
      <c r="B396" s="27" t="s">
        <v>696</v>
      </c>
      <c r="C396" s="113">
        <v>32012.69</v>
      </c>
      <c r="D396" s="28">
        <v>28778.55</v>
      </c>
      <c r="E396" s="29" t="s">
        <v>49</v>
      </c>
      <c r="F396" s="30">
        <v>44287.0</v>
      </c>
      <c r="G396" s="30" t="s">
        <v>40</v>
      </c>
      <c r="H396" s="30">
        <v>44309.0</v>
      </c>
      <c r="I396" s="32">
        <f t="shared" si="1"/>
        <v>0.7333333333</v>
      </c>
      <c r="J396" s="33" t="s">
        <v>697</v>
      </c>
      <c r="K396" s="34">
        <v>40000.0</v>
      </c>
      <c r="L396" s="115">
        <v>2176.89</v>
      </c>
      <c r="M396" s="35">
        <v>13258.66</v>
      </c>
      <c r="N396" s="35">
        <v>663.94</v>
      </c>
      <c r="O396" s="35">
        <f t="shared" si="65"/>
        <v>0</v>
      </c>
      <c r="P396" s="35">
        <f t="shared" si="3"/>
        <v>4878.04</v>
      </c>
      <c r="Q396" s="36">
        <f t="shared" si="4"/>
        <v>0.169502633</v>
      </c>
      <c r="R396" s="36">
        <f t="shared" si="5"/>
        <v>0.830497367</v>
      </c>
      <c r="S396" s="37"/>
      <c r="T396" s="5"/>
      <c r="U396" s="54">
        <v>1133.77</v>
      </c>
      <c r="V396" s="55">
        <v>2580.79</v>
      </c>
      <c r="W396" s="55">
        <f t="shared" si="66"/>
        <v>3714.56</v>
      </c>
      <c r="X396" s="56">
        <v>0.0735</v>
      </c>
      <c r="Y396" s="55">
        <f t="shared" si="63"/>
        <v>1043.123881</v>
      </c>
      <c r="Z396" s="55">
        <f t="shared" si="43"/>
        <v>1043.123881</v>
      </c>
      <c r="AA396" s="57">
        <f t="shared" si="44"/>
        <v>2176.893881</v>
      </c>
      <c r="AB396" s="5"/>
      <c r="AC396" s="42">
        <f t="shared" si="6"/>
        <v>1</v>
      </c>
      <c r="AD396" s="3">
        <f t="shared" si="7"/>
        <v>1</v>
      </c>
      <c r="AE396" s="3">
        <f t="shared" si="8"/>
        <v>1</v>
      </c>
      <c r="AF396" s="43">
        <f t="shared" si="9"/>
        <v>13922.6</v>
      </c>
      <c r="AG396" s="44">
        <f t="shared" si="10"/>
        <v>28778.55</v>
      </c>
      <c r="AH396" s="45">
        <f t="shared" si="11"/>
        <v>0.7333333333</v>
      </c>
      <c r="AI396" s="46">
        <f t="shared" si="12"/>
        <v>0.006227766101</v>
      </c>
      <c r="AJ396" s="47">
        <f t="shared" si="13"/>
        <v>0.001055622752</v>
      </c>
      <c r="AK396" s="5"/>
      <c r="AL396" s="42">
        <f t="shared" si="14"/>
        <v>0</v>
      </c>
      <c r="AM396" s="3">
        <f t="shared" si="15"/>
        <v>1</v>
      </c>
      <c r="AN396" s="3">
        <f t="shared" si="16"/>
        <v>0</v>
      </c>
      <c r="AO396" s="3">
        <f t="shared" si="17"/>
        <v>0</v>
      </c>
      <c r="AP396" s="44">
        <f t="shared" si="18"/>
        <v>0</v>
      </c>
      <c r="AQ396" s="48">
        <f t="shared" si="19"/>
        <v>0</v>
      </c>
      <c r="AR396" s="122">
        <f t="shared" si="20"/>
        <v>0</v>
      </c>
      <c r="AS396" s="47">
        <f t="shared" si="21"/>
        <v>0</v>
      </c>
      <c r="AT396" s="5"/>
      <c r="AU396" s="49">
        <f t="shared" si="27"/>
        <v>28778.55</v>
      </c>
      <c r="AV396" s="50">
        <f t="shared" si="23"/>
        <v>1</v>
      </c>
      <c r="AW396" s="51">
        <f t="shared" si="24"/>
        <v>0.002792186616</v>
      </c>
      <c r="AX396" s="52">
        <f t="shared" si="25"/>
        <v>0.0004732829833</v>
      </c>
      <c r="AY396" s="5"/>
      <c r="AZ396" s="53">
        <f t="shared" si="26"/>
        <v>1</v>
      </c>
      <c r="BA396" s="5"/>
      <c r="BB396" s="5"/>
      <c r="BC396" s="5"/>
    </row>
    <row r="397" ht="12.75" customHeight="1">
      <c r="A397" s="25"/>
      <c r="B397" s="27" t="s">
        <v>698</v>
      </c>
      <c r="C397" s="113">
        <v>18643.68</v>
      </c>
      <c r="D397" s="28">
        <v>17428.72</v>
      </c>
      <c r="E397" s="29" t="s">
        <v>49</v>
      </c>
      <c r="F397" s="30">
        <v>44316.0</v>
      </c>
      <c r="G397" s="30" t="s">
        <v>40</v>
      </c>
      <c r="H397" s="30">
        <v>44428.0</v>
      </c>
      <c r="I397" s="32">
        <f t="shared" si="1"/>
        <v>3.733333333</v>
      </c>
      <c r="J397" s="33" t="s">
        <v>699</v>
      </c>
      <c r="K397" s="34">
        <v>18000.0</v>
      </c>
      <c r="L397" s="115">
        <v>2156.2</v>
      </c>
      <c r="M397" s="35">
        <v>2233.29</v>
      </c>
      <c r="N397" s="35">
        <v>2100.44</v>
      </c>
      <c r="O397" s="35">
        <v>0.0</v>
      </c>
      <c r="P397" s="35">
        <v>0.0</v>
      </c>
      <c r="Q397" s="36">
        <f t="shared" si="4"/>
        <v>0</v>
      </c>
      <c r="R397" s="36">
        <f t="shared" si="5"/>
        <v>1</v>
      </c>
      <c r="S397" s="37"/>
      <c r="T397" s="5"/>
      <c r="U397" s="54">
        <v>1394.68</v>
      </c>
      <c r="V397" s="55">
        <v>1035.11</v>
      </c>
      <c r="W397" s="55">
        <f t="shared" si="66"/>
        <v>2429.79</v>
      </c>
      <c r="X397" s="56">
        <v>0.0886</v>
      </c>
      <c r="Y397" s="55">
        <f t="shared" si="63"/>
        <v>761.5156892</v>
      </c>
      <c r="Z397" s="55">
        <f t="shared" si="43"/>
        <v>761.5156892</v>
      </c>
      <c r="AA397" s="57">
        <f t="shared" si="44"/>
        <v>2156.195689</v>
      </c>
      <c r="AB397" s="5"/>
      <c r="AC397" s="42">
        <f t="shared" si="6"/>
        <v>1</v>
      </c>
      <c r="AD397" s="3">
        <f t="shared" si="7"/>
        <v>1</v>
      </c>
      <c r="AE397" s="3">
        <f t="shared" si="8"/>
        <v>1</v>
      </c>
      <c r="AF397" s="43">
        <f t="shared" si="9"/>
        <v>4333.73</v>
      </c>
      <c r="AG397" s="44">
        <f t="shared" si="10"/>
        <v>17428.72</v>
      </c>
      <c r="AH397" s="45">
        <f t="shared" si="11"/>
        <v>3.733333333</v>
      </c>
      <c r="AI397" s="46">
        <f t="shared" si="12"/>
        <v>0.00377162823</v>
      </c>
      <c r="AJ397" s="47">
        <f t="shared" si="13"/>
        <v>0</v>
      </c>
      <c r="AK397" s="5"/>
      <c r="AL397" s="42">
        <f t="shared" si="14"/>
        <v>0</v>
      </c>
      <c r="AM397" s="3">
        <f t="shared" si="15"/>
        <v>1</v>
      </c>
      <c r="AN397" s="3">
        <f t="shared" si="16"/>
        <v>0</v>
      </c>
      <c r="AO397" s="3">
        <f t="shared" si="17"/>
        <v>0</v>
      </c>
      <c r="AP397" s="44">
        <f t="shared" si="18"/>
        <v>0</v>
      </c>
      <c r="AQ397" s="48">
        <f t="shared" si="19"/>
        <v>0</v>
      </c>
      <c r="AR397" s="122">
        <f t="shared" si="20"/>
        <v>0</v>
      </c>
      <c r="AS397" s="47">
        <f t="shared" si="21"/>
        <v>0</v>
      </c>
      <c r="AT397" s="5"/>
      <c r="AU397" s="49">
        <f t="shared" si="27"/>
        <v>17428.72</v>
      </c>
      <c r="AV397" s="50">
        <f t="shared" si="23"/>
        <v>1</v>
      </c>
      <c r="AW397" s="51">
        <f t="shared" si="24"/>
        <v>0.001690989946</v>
      </c>
      <c r="AX397" s="52">
        <f t="shared" si="25"/>
        <v>0</v>
      </c>
      <c r="AY397" s="5"/>
      <c r="AZ397" s="53">
        <f t="shared" si="26"/>
        <v>1</v>
      </c>
      <c r="BA397" s="5"/>
      <c r="BB397" s="5"/>
      <c r="BC397" s="5"/>
    </row>
    <row r="398" ht="12.75" customHeight="1">
      <c r="A398" s="25"/>
      <c r="B398" s="27" t="s">
        <v>700</v>
      </c>
      <c r="C398" s="113">
        <v>10094.0</v>
      </c>
      <c r="D398" s="28">
        <v>7771.64</v>
      </c>
      <c r="E398" s="29" t="s">
        <v>49</v>
      </c>
      <c r="F398" s="30">
        <v>44316.0</v>
      </c>
      <c r="G398" s="30" t="s">
        <v>40</v>
      </c>
      <c r="H398" s="30">
        <v>44453.0</v>
      </c>
      <c r="I398" s="32">
        <f t="shared" si="1"/>
        <v>4.566666667</v>
      </c>
      <c r="J398" s="33" t="s">
        <v>129</v>
      </c>
      <c r="K398" s="34">
        <v>10000.0</v>
      </c>
      <c r="L398" s="115">
        <v>600.68</v>
      </c>
      <c r="M398" s="35">
        <v>4525.07</v>
      </c>
      <c r="N398" s="35">
        <v>0.0</v>
      </c>
      <c r="O398" s="35">
        <v>0.0</v>
      </c>
      <c r="P398" s="35">
        <v>0.0</v>
      </c>
      <c r="Q398" s="36">
        <f t="shared" si="4"/>
        <v>0</v>
      </c>
      <c r="R398" s="36">
        <f t="shared" si="5"/>
        <v>1</v>
      </c>
      <c r="S398" s="37"/>
      <c r="T398" s="5"/>
      <c r="U398" s="54">
        <v>255.75</v>
      </c>
      <c r="V398" s="55">
        <v>1452.12</v>
      </c>
      <c r="W398" s="55">
        <f t="shared" si="66"/>
        <v>1707.87</v>
      </c>
      <c r="X398" s="56">
        <v>0.09</v>
      </c>
      <c r="Y398" s="55">
        <f t="shared" si="63"/>
        <v>344.933063</v>
      </c>
      <c r="Z398" s="55">
        <f t="shared" si="43"/>
        <v>344.933063</v>
      </c>
      <c r="AA398" s="57">
        <f t="shared" si="44"/>
        <v>600.683063</v>
      </c>
      <c r="AB398" s="5"/>
      <c r="AC398" s="42">
        <f t="shared" si="6"/>
        <v>1</v>
      </c>
      <c r="AD398" s="3">
        <f t="shared" si="7"/>
        <v>1</v>
      </c>
      <c r="AE398" s="3">
        <f t="shared" si="8"/>
        <v>1</v>
      </c>
      <c r="AF398" s="43">
        <f t="shared" si="9"/>
        <v>4525.07</v>
      </c>
      <c r="AG398" s="44">
        <f t="shared" si="10"/>
        <v>7771.64</v>
      </c>
      <c r="AH398" s="45">
        <f t="shared" si="11"/>
        <v>4.566666667</v>
      </c>
      <c r="AI398" s="46">
        <f t="shared" si="12"/>
        <v>0.001681806628</v>
      </c>
      <c r="AJ398" s="47">
        <f t="shared" si="13"/>
        <v>0</v>
      </c>
      <c r="AK398" s="5"/>
      <c r="AL398" s="42">
        <f t="shared" si="14"/>
        <v>0</v>
      </c>
      <c r="AM398" s="3">
        <f t="shared" si="15"/>
        <v>1</v>
      </c>
      <c r="AN398" s="3">
        <f t="shared" si="16"/>
        <v>0</v>
      </c>
      <c r="AO398" s="3">
        <f t="shared" si="17"/>
        <v>0</v>
      </c>
      <c r="AP398" s="44">
        <f t="shared" si="18"/>
        <v>0</v>
      </c>
      <c r="AQ398" s="48">
        <f t="shared" si="19"/>
        <v>0</v>
      </c>
      <c r="AR398" s="122">
        <f t="shared" si="20"/>
        <v>0</v>
      </c>
      <c r="AS398" s="47">
        <f t="shared" si="21"/>
        <v>0</v>
      </c>
      <c r="AT398" s="5"/>
      <c r="AU398" s="49">
        <f t="shared" si="27"/>
        <v>7771.64</v>
      </c>
      <c r="AV398" s="50">
        <f t="shared" si="23"/>
        <v>1</v>
      </c>
      <c r="AW398" s="51">
        <f t="shared" si="24"/>
        <v>0.0007540292749</v>
      </c>
      <c r="AX398" s="52">
        <f t="shared" si="25"/>
        <v>0</v>
      </c>
      <c r="AY398" s="5"/>
      <c r="AZ398" s="53">
        <f t="shared" si="26"/>
        <v>1</v>
      </c>
      <c r="BA398" s="5"/>
      <c r="BB398" s="5"/>
      <c r="BC398" s="5"/>
    </row>
    <row r="399" ht="12.75" customHeight="1">
      <c r="A399" s="25"/>
      <c r="B399" s="27" t="s">
        <v>701</v>
      </c>
      <c r="C399" s="113">
        <v>26100.0</v>
      </c>
      <c r="D399" s="28">
        <v>23280.47</v>
      </c>
      <c r="E399" s="29" t="s">
        <v>39</v>
      </c>
      <c r="F399" s="30">
        <v>44377.0</v>
      </c>
      <c r="G399" s="30" t="s">
        <v>40</v>
      </c>
      <c r="H399" s="30">
        <v>44551.0</v>
      </c>
      <c r="I399" s="32">
        <f t="shared" si="1"/>
        <v>5.8</v>
      </c>
      <c r="J399" s="33" t="s">
        <v>702</v>
      </c>
      <c r="K399" s="34">
        <v>36000.0</v>
      </c>
      <c r="L399" s="65">
        <v>466.71000000000004</v>
      </c>
      <c r="M399" s="35">
        <v>1892.1</v>
      </c>
      <c r="N399" s="35">
        <v>130.83</v>
      </c>
      <c r="O399" s="35">
        <f>IF(K399="N/A",0,IF(K399-D399&gt;0,0,D399-K399))</f>
        <v>0</v>
      </c>
      <c r="P399" s="35">
        <f>IF(K399="N/A",0,IF(K399-D399-L399-M399-N399&gt;0,0,(K399-D399-L399-M399-N399)*-1))</f>
        <v>0</v>
      </c>
      <c r="Q399" s="36">
        <f t="shared" si="4"/>
        <v>0</v>
      </c>
      <c r="R399" s="36">
        <f t="shared" si="5"/>
        <v>1</v>
      </c>
      <c r="S399" s="37"/>
      <c r="T399" s="5"/>
      <c r="U399" s="54">
        <v>57.3</v>
      </c>
      <c r="V399" s="55">
        <v>352.11</v>
      </c>
      <c r="W399" s="55">
        <f t="shared" si="66"/>
        <v>409.41</v>
      </c>
      <c r="X399" s="56">
        <v>0.0905</v>
      </c>
      <c r="Y399" s="55">
        <f t="shared" si="63"/>
        <v>1039.010565</v>
      </c>
      <c r="Z399" s="55">
        <f t="shared" si="43"/>
        <v>409.41</v>
      </c>
      <c r="AA399" s="57">
        <f t="shared" si="44"/>
        <v>466.71</v>
      </c>
      <c r="AB399" s="5"/>
      <c r="AC399" s="42">
        <f t="shared" si="6"/>
        <v>0</v>
      </c>
      <c r="AD399" s="3">
        <f t="shared" si="7"/>
        <v>1</v>
      </c>
      <c r="AE399" s="3">
        <f t="shared" si="8"/>
        <v>0</v>
      </c>
      <c r="AF399" s="43">
        <f t="shared" si="9"/>
        <v>0</v>
      </c>
      <c r="AG399" s="44">
        <f t="shared" si="10"/>
        <v>0</v>
      </c>
      <c r="AH399" s="45">
        <f t="shared" si="11"/>
        <v>0</v>
      </c>
      <c r="AI399" s="46">
        <f t="shared" si="12"/>
        <v>0</v>
      </c>
      <c r="AJ399" s="47">
        <f t="shared" si="13"/>
        <v>0</v>
      </c>
      <c r="AK399" s="5"/>
      <c r="AL399" s="42">
        <f t="shared" si="14"/>
        <v>1</v>
      </c>
      <c r="AM399" s="3">
        <f t="shared" si="15"/>
        <v>1</v>
      </c>
      <c r="AN399" s="3">
        <f t="shared" si="16"/>
        <v>1</v>
      </c>
      <c r="AO399" s="3">
        <f t="shared" si="17"/>
        <v>2022.93</v>
      </c>
      <c r="AP399" s="44">
        <f t="shared" si="18"/>
        <v>23280.47</v>
      </c>
      <c r="AQ399" s="48">
        <f t="shared" si="19"/>
        <v>5.8</v>
      </c>
      <c r="AR399" s="122">
        <f t="shared" si="20"/>
        <v>0.004083899323</v>
      </c>
      <c r="AS399" s="47">
        <f t="shared" si="21"/>
        <v>0</v>
      </c>
      <c r="AT399" s="5"/>
      <c r="AU399" s="49">
        <f t="shared" si="27"/>
        <v>23280.47</v>
      </c>
      <c r="AV399" s="50">
        <f t="shared" si="23"/>
        <v>1</v>
      </c>
      <c r="AW399" s="51">
        <f t="shared" si="24"/>
        <v>0.002258745376</v>
      </c>
      <c r="AX399" s="52">
        <f t="shared" si="25"/>
        <v>0</v>
      </c>
      <c r="AY399" s="5"/>
      <c r="AZ399" s="53">
        <f t="shared" si="26"/>
        <v>1</v>
      </c>
      <c r="BA399" s="5"/>
      <c r="BB399" s="5"/>
      <c r="BC399" s="5"/>
    </row>
    <row r="400" ht="12.75" customHeight="1">
      <c r="A400" s="69"/>
      <c r="B400" s="27" t="s">
        <v>703</v>
      </c>
      <c r="C400" s="113">
        <v>16380.0</v>
      </c>
      <c r="D400" s="28">
        <v>13700.65</v>
      </c>
      <c r="E400" s="29" t="s">
        <v>49</v>
      </c>
      <c r="F400" s="30">
        <v>44408.0</v>
      </c>
      <c r="G400" s="30" t="s">
        <v>40</v>
      </c>
      <c r="H400" s="30">
        <v>44435.0</v>
      </c>
      <c r="I400" s="32">
        <f t="shared" si="1"/>
        <v>0.9</v>
      </c>
      <c r="J400" s="33" t="s">
        <v>129</v>
      </c>
      <c r="K400" s="34">
        <v>20000.0</v>
      </c>
      <c r="L400" s="115">
        <v>1661.09</v>
      </c>
      <c r="M400" s="35">
        <v>3865.7</v>
      </c>
      <c r="N400" s="35">
        <v>175.32</v>
      </c>
      <c r="O400" s="35">
        <v>0.0</v>
      </c>
      <c r="P400" s="35">
        <v>0.0</v>
      </c>
      <c r="Q400" s="36">
        <f t="shared" si="4"/>
        <v>0</v>
      </c>
      <c r="R400" s="36">
        <f t="shared" si="5"/>
        <v>1</v>
      </c>
      <c r="S400" s="37"/>
      <c r="T400" s="5"/>
      <c r="U400" s="54">
        <v>1137.46</v>
      </c>
      <c r="V400" s="55">
        <v>3184.55</v>
      </c>
      <c r="W400" s="55">
        <f t="shared" si="66"/>
        <v>4322.01</v>
      </c>
      <c r="X400" s="56">
        <v>0.0775</v>
      </c>
      <c r="Y400" s="55">
        <f t="shared" si="63"/>
        <v>523.6275822</v>
      </c>
      <c r="Z400" s="55">
        <f t="shared" si="43"/>
        <v>523.6275822</v>
      </c>
      <c r="AA400" s="57">
        <f t="shared" si="44"/>
        <v>1661.087582</v>
      </c>
      <c r="AB400" s="5"/>
      <c r="AC400" s="42">
        <f t="shared" si="6"/>
        <v>1</v>
      </c>
      <c r="AD400" s="3">
        <f t="shared" si="7"/>
        <v>1</v>
      </c>
      <c r="AE400" s="3">
        <f t="shared" si="8"/>
        <v>1</v>
      </c>
      <c r="AF400" s="43">
        <f t="shared" si="9"/>
        <v>4041.02</v>
      </c>
      <c r="AG400" s="44">
        <f t="shared" si="10"/>
        <v>13700.65</v>
      </c>
      <c r="AH400" s="45">
        <f t="shared" si="11"/>
        <v>0.9</v>
      </c>
      <c r="AI400" s="46">
        <f t="shared" si="12"/>
        <v>0.002964862498</v>
      </c>
      <c r="AJ400" s="47">
        <f t="shared" si="13"/>
        <v>0</v>
      </c>
      <c r="AK400" s="5"/>
      <c r="AL400" s="42">
        <f t="shared" si="14"/>
        <v>0</v>
      </c>
      <c r="AM400" s="3">
        <f t="shared" si="15"/>
        <v>1</v>
      </c>
      <c r="AN400" s="3">
        <f t="shared" si="16"/>
        <v>0</v>
      </c>
      <c r="AO400" s="3">
        <f t="shared" si="17"/>
        <v>0</v>
      </c>
      <c r="AP400" s="44">
        <f t="shared" si="18"/>
        <v>0</v>
      </c>
      <c r="AQ400" s="48">
        <f t="shared" si="19"/>
        <v>0</v>
      </c>
      <c r="AR400" s="122">
        <f t="shared" si="20"/>
        <v>0</v>
      </c>
      <c r="AS400" s="47">
        <f t="shared" si="21"/>
        <v>0</v>
      </c>
      <c r="AT400" s="5"/>
      <c r="AU400" s="49">
        <f t="shared" si="27"/>
        <v>13700.65</v>
      </c>
      <c r="AV400" s="50">
        <f t="shared" si="23"/>
        <v>1</v>
      </c>
      <c r="AW400" s="51">
        <f t="shared" si="24"/>
        <v>0.001329280716</v>
      </c>
      <c r="AX400" s="52">
        <f t="shared" si="25"/>
        <v>0</v>
      </c>
      <c r="AY400" s="5"/>
      <c r="AZ400" s="53">
        <f t="shared" si="26"/>
        <v>1</v>
      </c>
      <c r="BA400" s="5"/>
      <c r="BB400" s="5"/>
      <c r="BC400" s="5"/>
    </row>
    <row r="401" ht="12.75" customHeight="1">
      <c r="A401" s="25"/>
      <c r="B401" s="27" t="s">
        <v>704</v>
      </c>
      <c r="C401" s="113">
        <v>16380.0</v>
      </c>
      <c r="D401" s="28">
        <v>14184.13</v>
      </c>
      <c r="E401" s="29" t="s">
        <v>39</v>
      </c>
      <c r="F401" s="30">
        <v>44408.0</v>
      </c>
      <c r="G401" s="30" t="s">
        <v>40</v>
      </c>
      <c r="H401" s="30">
        <v>44443.0</v>
      </c>
      <c r="I401" s="32">
        <f t="shared" si="1"/>
        <v>1.166666667</v>
      </c>
      <c r="J401" s="33" t="s">
        <v>129</v>
      </c>
      <c r="K401" s="34">
        <v>23000.0</v>
      </c>
      <c r="L401" s="115">
        <v>1321.6</v>
      </c>
      <c r="M401" s="35">
        <v>5012.32</v>
      </c>
      <c r="N401" s="35">
        <v>444.44</v>
      </c>
      <c r="O401" s="35">
        <v>0.0</v>
      </c>
      <c r="P401" s="35">
        <v>0.0</v>
      </c>
      <c r="Q401" s="36">
        <f t="shared" si="4"/>
        <v>0</v>
      </c>
      <c r="R401" s="36">
        <f t="shared" si="5"/>
        <v>1</v>
      </c>
      <c r="S401" s="37"/>
      <c r="T401" s="5"/>
      <c r="U401" s="54">
        <v>650.79</v>
      </c>
      <c r="V401" s="55">
        <v>1673.3</v>
      </c>
      <c r="W401" s="55">
        <f t="shared" si="66"/>
        <v>2324.09</v>
      </c>
      <c r="X401" s="56">
        <v>0.0959</v>
      </c>
      <c r="Y401" s="55">
        <f t="shared" si="63"/>
        <v>670.8121974</v>
      </c>
      <c r="Z401" s="55">
        <f t="shared" si="43"/>
        <v>670.8121974</v>
      </c>
      <c r="AA401" s="57">
        <f t="shared" si="44"/>
        <v>1321.602197</v>
      </c>
      <c r="AB401" s="5"/>
      <c r="AC401" s="42">
        <f t="shared" si="6"/>
        <v>0</v>
      </c>
      <c r="AD401" s="3">
        <f t="shared" si="7"/>
        <v>1</v>
      </c>
      <c r="AE401" s="3">
        <f t="shared" si="8"/>
        <v>0</v>
      </c>
      <c r="AF401" s="43">
        <f t="shared" si="9"/>
        <v>0</v>
      </c>
      <c r="AG401" s="44">
        <f t="shared" si="10"/>
        <v>0</v>
      </c>
      <c r="AH401" s="45">
        <f t="shared" si="11"/>
        <v>0</v>
      </c>
      <c r="AI401" s="46">
        <f t="shared" si="12"/>
        <v>0</v>
      </c>
      <c r="AJ401" s="47">
        <f t="shared" si="13"/>
        <v>0</v>
      </c>
      <c r="AK401" s="5"/>
      <c r="AL401" s="42">
        <f t="shared" si="14"/>
        <v>1</v>
      </c>
      <c r="AM401" s="3">
        <f t="shared" si="15"/>
        <v>1</v>
      </c>
      <c r="AN401" s="3">
        <f t="shared" si="16"/>
        <v>1</v>
      </c>
      <c r="AO401" s="3">
        <f t="shared" si="17"/>
        <v>5456.76</v>
      </c>
      <c r="AP401" s="44">
        <f t="shared" si="18"/>
        <v>14184.13</v>
      </c>
      <c r="AQ401" s="48">
        <f t="shared" si="19"/>
        <v>1.166666667</v>
      </c>
      <c r="AR401" s="122">
        <f t="shared" si="20"/>
        <v>0.002488204014</v>
      </c>
      <c r="AS401" s="47">
        <f t="shared" si="21"/>
        <v>0</v>
      </c>
      <c r="AT401" s="5"/>
      <c r="AU401" s="49">
        <f t="shared" si="27"/>
        <v>14184.13</v>
      </c>
      <c r="AV401" s="50">
        <f t="shared" si="23"/>
        <v>1</v>
      </c>
      <c r="AW401" s="51">
        <f t="shared" si="24"/>
        <v>0.001376189486</v>
      </c>
      <c r="AX401" s="52">
        <f t="shared" si="25"/>
        <v>0</v>
      </c>
      <c r="AY401" s="5"/>
      <c r="AZ401" s="53">
        <f t="shared" si="26"/>
        <v>1</v>
      </c>
      <c r="BA401" s="5"/>
      <c r="BB401" s="5"/>
      <c r="BC401" s="5"/>
    </row>
    <row r="402" ht="12.75" customHeight="1">
      <c r="A402" s="25"/>
      <c r="B402" s="27" t="s">
        <v>705</v>
      </c>
      <c r="C402" s="113">
        <v>24984.0</v>
      </c>
      <c r="D402" s="28">
        <v>23056.26</v>
      </c>
      <c r="E402" s="29" t="s">
        <v>49</v>
      </c>
      <c r="F402" s="30">
        <v>44408.0</v>
      </c>
      <c r="G402" s="30" t="s">
        <v>40</v>
      </c>
      <c r="H402" s="30">
        <v>44517.0</v>
      </c>
      <c r="I402" s="32">
        <f t="shared" si="1"/>
        <v>3.633333333</v>
      </c>
      <c r="J402" s="33" t="s">
        <v>706</v>
      </c>
      <c r="K402" s="34">
        <v>34000.0</v>
      </c>
      <c r="L402" s="115">
        <v>3335.63</v>
      </c>
      <c r="M402" s="35">
        <v>4019.15</v>
      </c>
      <c r="N402" s="35">
        <v>1667.2</v>
      </c>
      <c r="O402" s="35">
        <f t="shared" ref="O402:O431" si="67">IF(K402="N/A",0,IF(K402-D402&gt;0,0,D402-K402))</f>
        <v>0</v>
      </c>
      <c r="P402" s="35">
        <f t="shared" ref="P402:P431" si="68">IF(K402="N/A",0,IF(K402-D402-L402-M402-N402&gt;0,0,(K402-D402-L402-M402-N402)*-1))</f>
        <v>0</v>
      </c>
      <c r="Q402" s="36">
        <f t="shared" si="4"/>
        <v>0</v>
      </c>
      <c r="R402" s="36">
        <f t="shared" si="5"/>
        <v>1</v>
      </c>
      <c r="S402" s="37"/>
      <c r="T402" s="5"/>
      <c r="U402" s="54">
        <v>2325.96</v>
      </c>
      <c r="V402" s="55">
        <v>7582.87</v>
      </c>
      <c r="W402" s="55">
        <f t="shared" si="66"/>
        <v>9908.83</v>
      </c>
      <c r="X402" s="56">
        <v>0.0888</v>
      </c>
      <c r="Y402" s="55">
        <f t="shared" si="63"/>
        <v>1009.674684</v>
      </c>
      <c r="Z402" s="55">
        <f t="shared" si="43"/>
        <v>1009.674684</v>
      </c>
      <c r="AA402" s="57">
        <f t="shared" si="44"/>
        <v>3335.634684</v>
      </c>
      <c r="AB402" s="5"/>
      <c r="AC402" s="42">
        <f t="shared" si="6"/>
        <v>1</v>
      </c>
      <c r="AD402" s="3">
        <f t="shared" si="7"/>
        <v>1</v>
      </c>
      <c r="AE402" s="3">
        <f t="shared" si="8"/>
        <v>1</v>
      </c>
      <c r="AF402" s="43">
        <f t="shared" si="9"/>
        <v>5686.35</v>
      </c>
      <c r="AG402" s="44">
        <f t="shared" si="10"/>
        <v>23056.26</v>
      </c>
      <c r="AH402" s="45">
        <f t="shared" si="11"/>
        <v>3.633333333</v>
      </c>
      <c r="AI402" s="46">
        <f t="shared" si="12"/>
        <v>0.004989445071</v>
      </c>
      <c r="AJ402" s="47">
        <f t="shared" si="13"/>
        <v>0</v>
      </c>
      <c r="AK402" s="5"/>
      <c r="AL402" s="42">
        <f t="shared" si="14"/>
        <v>0</v>
      </c>
      <c r="AM402" s="3">
        <f t="shared" si="15"/>
        <v>1</v>
      </c>
      <c r="AN402" s="3">
        <f t="shared" si="16"/>
        <v>0</v>
      </c>
      <c r="AO402" s="3">
        <f t="shared" si="17"/>
        <v>0</v>
      </c>
      <c r="AP402" s="44">
        <f t="shared" si="18"/>
        <v>0</v>
      </c>
      <c r="AQ402" s="48">
        <f t="shared" si="19"/>
        <v>0</v>
      </c>
      <c r="AR402" s="122">
        <f t="shared" si="20"/>
        <v>0</v>
      </c>
      <c r="AS402" s="47">
        <f t="shared" si="21"/>
        <v>0</v>
      </c>
      <c r="AT402" s="5"/>
      <c r="AU402" s="49">
        <f t="shared" si="27"/>
        <v>23056.26</v>
      </c>
      <c r="AV402" s="50">
        <f t="shared" si="23"/>
        <v>1</v>
      </c>
      <c r="AW402" s="51">
        <f t="shared" si="24"/>
        <v>0.002236991807</v>
      </c>
      <c r="AX402" s="52">
        <f t="shared" si="25"/>
        <v>0</v>
      </c>
      <c r="AY402" s="5"/>
      <c r="AZ402" s="53">
        <f t="shared" si="26"/>
        <v>1</v>
      </c>
      <c r="BA402" s="5"/>
      <c r="BB402" s="5"/>
      <c r="BC402" s="5"/>
    </row>
    <row r="403" ht="12.75" customHeight="1">
      <c r="A403" s="25"/>
      <c r="B403" s="27" t="s">
        <v>707</v>
      </c>
      <c r="C403" s="113">
        <v>171513.0</v>
      </c>
      <c r="D403" s="28">
        <v>168917.62</v>
      </c>
      <c r="E403" s="29" t="s">
        <v>39</v>
      </c>
      <c r="F403" s="30">
        <v>44463.0</v>
      </c>
      <c r="G403" s="30" t="s">
        <v>40</v>
      </c>
      <c r="H403" s="30">
        <v>44580.0</v>
      </c>
      <c r="I403" s="32">
        <f t="shared" si="1"/>
        <v>3.9</v>
      </c>
      <c r="J403" s="33" t="s">
        <v>129</v>
      </c>
      <c r="K403" s="34">
        <v>190000.0</v>
      </c>
      <c r="L403" s="65">
        <v>4373.66</v>
      </c>
      <c r="M403" s="35">
        <v>5738.45</v>
      </c>
      <c r="N403" s="35">
        <v>3112.47</v>
      </c>
      <c r="O403" s="35">
        <f t="shared" si="67"/>
        <v>0</v>
      </c>
      <c r="P403" s="35">
        <f t="shared" si="68"/>
        <v>0</v>
      </c>
      <c r="Q403" s="36">
        <f t="shared" si="4"/>
        <v>0</v>
      </c>
      <c r="R403" s="36">
        <f t="shared" si="5"/>
        <v>1</v>
      </c>
      <c r="S403" s="37"/>
      <c r="T403" s="5"/>
      <c r="U403" s="54">
        <v>515.76</v>
      </c>
      <c r="V403" s="55">
        <v>3342.14</v>
      </c>
      <c r="W403" s="55">
        <f t="shared" si="66"/>
        <v>3857.9</v>
      </c>
      <c r="X403" s="56">
        <v>0.069</v>
      </c>
      <c r="Y403" s="55">
        <f t="shared" si="63"/>
        <v>5747.82696</v>
      </c>
      <c r="Z403" s="55">
        <f t="shared" si="43"/>
        <v>3857.9</v>
      </c>
      <c r="AA403" s="57">
        <f t="shared" si="44"/>
        <v>4373.66</v>
      </c>
      <c r="AB403" s="5"/>
      <c r="AC403" s="42">
        <f t="shared" si="6"/>
        <v>0</v>
      </c>
      <c r="AD403" s="3">
        <f t="shared" si="7"/>
        <v>1</v>
      </c>
      <c r="AE403" s="3">
        <f t="shared" si="8"/>
        <v>0</v>
      </c>
      <c r="AF403" s="43">
        <f t="shared" si="9"/>
        <v>0</v>
      </c>
      <c r="AG403" s="44">
        <f t="shared" si="10"/>
        <v>0</v>
      </c>
      <c r="AH403" s="45">
        <f t="shared" si="11"/>
        <v>0</v>
      </c>
      <c r="AI403" s="46">
        <f t="shared" si="12"/>
        <v>0</v>
      </c>
      <c r="AJ403" s="47">
        <f t="shared" si="13"/>
        <v>0</v>
      </c>
      <c r="AK403" s="5"/>
      <c r="AL403" s="42">
        <f t="shared" si="14"/>
        <v>1</v>
      </c>
      <c r="AM403" s="3">
        <f t="shared" si="15"/>
        <v>1</v>
      </c>
      <c r="AN403" s="3">
        <f t="shared" si="16"/>
        <v>1</v>
      </c>
      <c r="AO403" s="3">
        <f t="shared" si="17"/>
        <v>8850.92</v>
      </c>
      <c r="AP403" s="44">
        <f t="shared" si="18"/>
        <v>168917.62</v>
      </c>
      <c r="AQ403" s="48">
        <f t="shared" si="19"/>
        <v>3.9</v>
      </c>
      <c r="AR403" s="122">
        <f t="shared" si="20"/>
        <v>0.02963181388</v>
      </c>
      <c r="AS403" s="47">
        <f t="shared" si="21"/>
        <v>0</v>
      </c>
      <c r="AT403" s="5"/>
      <c r="AU403" s="49">
        <f t="shared" si="27"/>
        <v>168917.62</v>
      </c>
      <c r="AV403" s="50">
        <f t="shared" si="23"/>
        <v>1</v>
      </c>
      <c r="AW403" s="51">
        <f t="shared" si="24"/>
        <v>0.0163889257</v>
      </c>
      <c r="AX403" s="52">
        <f t="shared" si="25"/>
        <v>0</v>
      </c>
      <c r="AY403" s="5"/>
      <c r="AZ403" s="53">
        <f t="shared" si="26"/>
        <v>1</v>
      </c>
      <c r="BA403" s="5"/>
      <c r="BB403" s="5"/>
      <c r="BC403" s="5"/>
    </row>
    <row r="404" ht="12.75" customHeight="1">
      <c r="A404" s="25"/>
      <c r="B404" s="27" t="s">
        <v>708</v>
      </c>
      <c r="C404" s="113">
        <v>18900.0</v>
      </c>
      <c r="D404" s="28">
        <v>14182.33</v>
      </c>
      <c r="E404" s="29" t="s">
        <v>39</v>
      </c>
      <c r="F404" s="30">
        <v>44467.0</v>
      </c>
      <c r="G404" s="30" t="s">
        <v>40</v>
      </c>
      <c r="H404" s="30">
        <v>44587.0</v>
      </c>
      <c r="I404" s="32">
        <f t="shared" si="1"/>
        <v>4</v>
      </c>
      <c r="J404" s="33" t="s">
        <v>709</v>
      </c>
      <c r="K404" s="34">
        <v>14500.0</v>
      </c>
      <c r="L404" s="115">
        <v>1070.68</v>
      </c>
      <c r="M404" s="35">
        <v>1690.2</v>
      </c>
      <c r="N404" s="35">
        <v>20.15</v>
      </c>
      <c r="O404" s="35">
        <f t="shared" si="67"/>
        <v>0</v>
      </c>
      <c r="P404" s="35">
        <f t="shared" si="68"/>
        <v>2463.36</v>
      </c>
      <c r="Q404" s="36">
        <f t="shared" si="4"/>
        <v>0.173692193</v>
      </c>
      <c r="R404" s="36">
        <f t="shared" si="5"/>
        <v>0.826307807</v>
      </c>
      <c r="S404" s="37"/>
      <c r="T404" s="5"/>
      <c r="U404" s="54">
        <v>511.16</v>
      </c>
      <c r="V404" s="55">
        <v>905.34</v>
      </c>
      <c r="W404" s="55">
        <f t="shared" si="66"/>
        <v>1416.5</v>
      </c>
      <c r="X404" s="56">
        <v>0.08</v>
      </c>
      <c r="Y404" s="55">
        <f t="shared" si="63"/>
        <v>559.5220603</v>
      </c>
      <c r="Z404" s="55">
        <f t="shared" si="43"/>
        <v>559.5220603</v>
      </c>
      <c r="AA404" s="57">
        <f t="shared" si="44"/>
        <v>1070.68206</v>
      </c>
      <c r="AB404" s="5"/>
      <c r="AC404" s="42">
        <f t="shared" si="6"/>
        <v>0</v>
      </c>
      <c r="AD404" s="3">
        <f t="shared" si="7"/>
        <v>1</v>
      </c>
      <c r="AE404" s="3">
        <f t="shared" si="8"/>
        <v>0</v>
      </c>
      <c r="AF404" s="43">
        <f t="shared" si="9"/>
        <v>0</v>
      </c>
      <c r="AG404" s="44">
        <f t="shared" si="10"/>
        <v>0</v>
      </c>
      <c r="AH404" s="45">
        <f t="shared" si="11"/>
        <v>0</v>
      </c>
      <c r="AI404" s="46">
        <f t="shared" si="12"/>
        <v>0</v>
      </c>
      <c r="AJ404" s="47">
        <f t="shared" si="13"/>
        <v>0</v>
      </c>
      <c r="AK404" s="5"/>
      <c r="AL404" s="42">
        <f t="shared" si="14"/>
        <v>1</v>
      </c>
      <c r="AM404" s="3">
        <f t="shared" si="15"/>
        <v>1</v>
      </c>
      <c r="AN404" s="3">
        <f t="shared" si="16"/>
        <v>1</v>
      </c>
      <c r="AO404" s="3">
        <f t="shared" si="17"/>
        <v>1710.35</v>
      </c>
      <c r="AP404" s="44">
        <f t="shared" si="18"/>
        <v>14182.33</v>
      </c>
      <c r="AQ404" s="48">
        <f t="shared" si="19"/>
        <v>4</v>
      </c>
      <c r="AR404" s="122">
        <f t="shared" si="20"/>
        <v>0.002487888255</v>
      </c>
      <c r="AS404" s="47">
        <f t="shared" si="21"/>
        <v>0.0004321267671</v>
      </c>
      <c r="AT404" s="5"/>
      <c r="AU404" s="49">
        <f t="shared" si="27"/>
        <v>14182.33</v>
      </c>
      <c r="AV404" s="50">
        <f t="shared" si="23"/>
        <v>1</v>
      </c>
      <c r="AW404" s="51">
        <f t="shared" si="24"/>
        <v>0.001376014845</v>
      </c>
      <c r="AX404" s="52">
        <f t="shared" si="25"/>
        <v>0.000239003036</v>
      </c>
      <c r="AY404" s="5"/>
      <c r="AZ404" s="53">
        <f t="shared" si="26"/>
        <v>1</v>
      </c>
      <c r="BA404" s="5"/>
      <c r="BB404" s="5"/>
      <c r="BC404" s="5"/>
    </row>
    <row r="405" ht="12.75" customHeight="1">
      <c r="A405" s="25"/>
      <c r="B405" s="27" t="s">
        <v>710</v>
      </c>
      <c r="C405" s="113">
        <v>66138.4</v>
      </c>
      <c r="D405" s="28">
        <v>64602.0</v>
      </c>
      <c r="E405" s="29" t="s">
        <v>49</v>
      </c>
      <c r="F405" s="30">
        <v>44469.0</v>
      </c>
      <c r="G405" s="30" t="s">
        <v>40</v>
      </c>
      <c r="H405" s="30">
        <v>44542.0</v>
      </c>
      <c r="I405" s="32">
        <f t="shared" si="1"/>
        <v>2.433333333</v>
      </c>
      <c r="J405" s="33" t="s">
        <v>129</v>
      </c>
      <c r="K405" s="34">
        <v>73000.0</v>
      </c>
      <c r="L405" s="115">
        <v>3658.08</v>
      </c>
      <c r="M405" s="35">
        <v>8597.46</v>
      </c>
      <c r="N405" s="35">
        <v>66.0</v>
      </c>
      <c r="O405" s="35">
        <f t="shared" si="67"/>
        <v>0</v>
      </c>
      <c r="P405" s="35">
        <f t="shared" si="68"/>
        <v>3923.54</v>
      </c>
      <c r="Q405" s="36">
        <f t="shared" si="4"/>
        <v>0.060734033</v>
      </c>
      <c r="R405" s="36">
        <f t="shared" si="5"/>
        <v>0.939265967</v>
      </c>
      <c r="S405" s="37"/>
      <c r="T405" s="5"/>
      <c r="U405" s="54">
        <v>1077.54</v>
      </c>
      <c r="V405" s="55">
        <v>3356.72</v>
      </c>
      <c r="W405" s="55">
        <f t="shared" si="66"/>
        <v>4434.26</v>
      </c>
      <c r="X405" s="56">
        <v>0.081</v>
      </c>
      <c r="Y405" s="55">
        <f t="shared" si="63"/>
        <v>2580.540164</v>
      </c>
      <c r="Z405" s="55">
        <f t="shared" si="43"/>
        <v>2580.540164</v>
      </c>
      <c r="AA405" s="57">
        <f t="shared" si="44"/>
        <v>3658.080164</v>
      </c>
      <c r="AB405" s="5"/>
      <c r="AC405" s="42">
        <f t="shared" si="6"/>
        <v>1</v>
      </c>
      <c r="AD405" s="3">
        <f t="shared" si="7"/>
        <v>1</v>
      </c>
      <c r="AE405" s="3">
        <f t="shared" si="8"/>
        <v>1</v>
      </c>
      <c r="AF405" s="43">
        <f t="shared" si="9"/>
        <v>8663.46</v>
      </c>
      <c r="AG405" s="44">
        <f t="shared" si="10"/>
        <v>64602</v>
      </c>
      <c r="AH405" s="45">
        <f t="shared" si="11"/>
        <v>2.433333333</v>
      </c>
      <c r="AI405" s="46">
        <f t="shared" si="12"/>
        <v>0.01398007008</v>
      </c>
      <c r="AJ405" s="47">
        <f t="shared" si="13"/>
        <v>0.0008490660373</v>
      </c>
      <c r="AK405" s="5"/>
      <c r="AL405" s="42">
        <f t="shared" si="14"/>
        <v>0</v>
      </c>
      <c r="AM405" s="3">
        <f t="shared" si="15"/>
        <v>1</v>
      </c>
      <c r="AN405" s="3">
        <f t="shared" si="16"/>
        <v>0</v>
      </c>
      <c r="AO405" s="3">
        <f t="shared" si="17"/>
        <v>0</v>
      </c>
      <c r="AP405" s="44">
        <f t="shared" si="18"/>
        <v>0</v>
      </c>
      <c r="AQ405" s="48">
        <f t="shared" si="19"/>
        <v>0</v>
      </c>
      <c r="AR405" s="122">
        <f t="shared" si="20"/>
        <v>0</v>
      </c>
      <c r="AS405" s="47">
        <f t="shared" si="21"/>
        <v>0</v>
      </c>
      <c r="AT405" s="5"/>
      <c r="AU405" s="49">
        <f t="shared" si="27"/>
        <v>64602</v>
      </c>
      <c r="AV405" s="50">
        <f t="shared" si="23"/>
        <v>1</v>
      </c>
      <c r="AW405" s="51">
        <f t="shared" si="24"/>
        <v>0.006267891876</v>
      </c>
      <c r="AX405" s="52">
        <f t="shared" si="25"/>
        <v>0.000380674352</v>
      </c>
      <c r="AY405" s="5"/>
      <c r="AZ405" s="53">
        <f t="shared" si="26"/>
        <v>1</v>
      </c>
      <c r="BA405" s="5"/>
      <c r="BB405" s="5"/>
      <c r="BC405" s="5"/>
    </row>
    <row r="406" ht="12.75" customHeight="1">
      <c r="A406" s="25"/>
      <c r="B406" s="27" t="s">
        <v>109</v>
      </c>
      <c r="C406" s="113">
        <v>9000.0</v>
      </c>
      <c r="D406" s="28">
        <v>8145.0</v>
      </c>
      <c r="E406" s="29" t="s">
        <v>49</v>
      </c>
      <c r="F406" s="30">
        <v>44469.0</v>
      </c>
      <c r="G406" s="117" t="s">
        <v>40</v>
      </c>
      <c r="H406" s="123">
        <v>44768.0</v>
      </c>
      <c r="I406" s="32">
        <f t="shared" si="1"/>
        <v>9.966666667</v>
      </c>
      <c r="J406" s="124" t="s">
        <v>711</v>
      </c>
      <c r="K406" s="125">
        <v>12000.0</v>
      </c>
      <c r="L406" s="115">
        <v>968.0</v>
      </c>
      <c r="M406" s="112">
        <v>2827.95</v>
      </c>
      <c r="N406" s="112">
        <v>415.48</v>
      </c>
      <c r="O406" s="35">
        <f t="shared" si="67"/>
        <v>0</v>
      </c>
      <c r="P406" s="35">
        <f t="shared" si="68"/>
        <v>356.43</v>
      </c>
      <c r="Q406" s="36">
        <f t="shared" si="4"/>
        <v>0.04376058932</v>
      </c>
      <c r="R406" s="36">
        <f t="shared" si="5"/>
        <v>0.9562394107</v>
      </c>
      <c r="S406" s="37"/>
      <c r="T406" s="5"/>
      <c r="U406" s="54">
        <f>249.13+175.44+159.12+32.39</f>
        <v>616.08</v>
      </c>
      <c r="V406" s="126">
        <v>1472.44</v>
      </c>
      <c r="W406" s="55">
        <f t="shared" si="66"/>
        <v>2088.52</v>
      </c>
      <c r="X406" s="127">
        <v>0.0875</v>
      </c>
      <c r="Y406" s="55">
        <f t="shared" si="63"/>
        <v>351.4623288</v>
      </c>
      <c r="Z406" s="55">
        <f t="shared" si="43"/>
        <v>351.4623288</v>
      </c>
      <c r="AA406" s="57">
        <f t="shared" si="44"/>
        <v>967.5423288</v>
      </c>
      <c r="AB406" s="5"/>
      <c r="AC406" s="42">
        <f t="shared" si="6"/>
        <v>1</v>
      </c>
      <c r="AD406" s="3">
        <f t="shared" si="7"/>
        <v>1</v>
      </c>
      <c r="AE406" s="3">
        <f t="shared" si="8"/>
        <v>1</v>
      </c>
      <c r="AF406" s="43">
        <f t="shared" si="9"/>
        <v>3243.43</v>
      </c>
      <c r="AG406" s="44">
        <f t="shared" si="10"/>
        <v>8145</v>
      </c>
      <c r="AH406" s="45">
        <f t="shared" si="11"/>
        <v>9.966666667</v>
      </c>
      <c r="AI406" s="46">
        <f t="shared" si="12"/>
        <v>0.001762602872</v>
      </c>
      <c r="AJ406" s="47">
        <f t="shared" si="13"/>
        <v>0.00007713254043</v>
      </c>
      <c r="AK406" s="5"/>
      <c r="AL406" s="42">
        <f t="shared" si="14"/>
        <v>0</v>
      </c>
      <c r="AM406" s="3">
        <f t="shared" si="15"/>
        <v>1</v>
      </c>
      <c r="AN406" s="3">
        <f t="shared" si="16"/>
        <v>0</v>
      </c>
      <c r="AO406" s="3">
        <f t="shared" si="17"/>
        <v>0</v>
      </c>
      <c r="AP406" s="44">
        <f t="shared" si="18"/>
        <v>0</v>
      </c>
      <c r="AQ406" s="48">
        <f t="shared" si="19"/>
        <v>0</v>
      </c>
      <c r="AR406" s="122">
        <f t="shared" si="20"/>
        <v>0</v>
      </c>
      <c r="AS406" s="47">
        <f t="shared" si="21"/>
        <v>0</v>
      </c>
      <c r="AT406" s="5"/>
      <c r="AU406" s="49">
        <f t="shared" si="27"/>
        <v>8145</v>
      </c>
      <c r="AV406" s="50">
        <f t="shared" si="23"/>
        <v>1</v>
      </c>
      <c r="AW406" s="51">
        <f t="shared" si="24"/>
        <v>0.0007902538517</v>
      </c>
      <c r="AX406" s="52">
        <f t="shared" si="25"/>
        <v>0.00003458197426</v>
      </c>
      <c r="AY406" s="5"/>
      <c r="AZ406" s="53">
        <f t="shared" si="26"/>
        <v>1</v>
      </c>
      <c r="BA406" s="5"/>
      <c r="BB406" s="5"/>
      <c r="BC406" s="5"/>
    </row>
    <row r="407" ht="12.75" customHeight="1">
      <c r="A407" s="25"/>
      <c r="B407" s="27" t="s">
        <v>712</v>
      </c>
      <c r="C407" s="113">
        <v>33052.5</v>
      </c>
      <c r="D407" s="28">
        <v>32087.29</v>
      </c>
      <c r="E407" s="29" t="s">
        <v>49</v>
      </c>
      <c r="F407" s="30">
        <v>44498.0</v>
      </c>
      <c r="G407" s="117" t="s">
        <v>40</v>
      </c>
      <c r="H407" s="123">
        <v>45134.0</v>
      </c>
      <c r="I407" s="32">
        <f t="shared" si="1"/>
        <v>21.2</v>
      </c>
      <c r="J407" s="124" t="s">
        <v>713</v>
      </c>
      <c r="K407" s="125">
        <v>41500.0</v>
      </c>
      <c r="L407" s="128">
        <v>4757.019850684931</v>
      </c>
      <c r="M407" s="112">
        <v>3433.19</v>
      </c>
      <c r="N407" s="112">
        <v>600.19</v>
      </c>
      <c r="O407" s="35">
        <f t="shared" si="67"/>
        <v>0</v>
      </c>
      <c r="P407" s="35">
        <f t="shared" si="68"/>
        <v>0</v>
      </c>
      <c r="Q407" s="36">
        <f t="shared" si="4"/>
        <v>0</v>
      </c>
      <c r="R407" s="36">
        <f t="shared" si="5"/>
        <v>1</v>
      </c>
      <c r="S407" s="37"/>
      <c r="T407" s="5"/>
      <c r="U407" s="129">
        <f>1926.07+1354.21+250.39</f>
        <v>3530.67</v>
      </c>
      <c r="V407" s="130">
        <f>2043.92</f>
        <v>2043.92</v>
      </c>
      <c r="W407" s="55">
        <f t="shared" si="66"/>
        <v>5574.59</v>
      </c>
      <c r="X407" s="131">
        <v>0.0775</v>
      </c>
      <c r="Y407" s="55">
        <f t="shared" si="63"/>
        <v>1226.349851</v>
      </c>
      <c r="Z407" s="55">
        <f t="shared" si="43"/>
        <v>1226.349851</v>
      </c>
      <c r="AA407" s="57">
        <f t="shared" si="44"/>
        <v>4757.019851</v>
      </c>
      <c r="AB407" s="5"/>
      <c r="AC407" s="42">
        <f t="shared" si="6"/>
        <v>1</v>
      </c>
      <c r="AD407" s="3">
        <f t="shared" si="7"/>
        <v>1</v>
      </c>
      <c r="AE407" s="3">
        <f t="shared" si="8"/>
        <v>1</v>
      </c>
      <c r="AF407" s="43">
        <f t="shared" si="9"/>
        <v>4033.38</v>
      </c>
      <c r="AG407" s="44">
        <f t="shared" si="10"/>
        <v>32087.29</v>
      </c>
      <c r="AH407" s="45">
        <f t="shared" si="11"/>
        <v>21.2</v>
      </c>
      <c r="AI407" s="46">
        <f t="shared" si="12"/>
        <v>0.006943787541</v>
      </c>
      <c r="AJ407" s="47">
        <f t="shared" si="13"/>
        <v>0</v>
      </c>
      <c r="AK407" s="5"/>
      <c r="AL407" s="42">
        <f t="shared" si="14"/>
        <v>0</v>
      </c>
      <c r="AM407" s="3">
        <f t="shared" si="15"/>
        <v>1</v>
      </c>
      <c r="AN407" s="3">
        <f t="shared" si="16"/>
        <v>0</v>
      </c>
      <c r="AO407" s="3">
        <f t="shared" si="17"/>
        <v>0</v>
      </c>
      <c r="AP407" s="44">
        <f t="shared" si="18"/>
        <v>0</v>
      </c>
      <c r="AQ407" s="48">
        <f t="shared" si="19"/>
        <v>0</v>
      </c>
      <c r="AR407" s="122">
        <f t="shared" si="20"/>
        <v>0</v>
      </c>
      <c r="AS407" s="47">
        <f t="shared" si="21"/>
        <v>0</v>
      </c>
      <c r="AT407" s="5"/>
      <c r="AU407" s="49">
        <f t="shared" si="27"/>
        <v>32087.29</v>
      </c>
      <c r="AV407" s="50">
        <f t="shared" si="23"/>
        <v>1</v>
      </c>
      <c r="AW407" s="51">
        <f t="shared" si="24"/>
        <v>0.003113211113</v>
      </c>
      <c r="AX407" s="52">
        <f t="shared" si="25"/>
        <v>0</v>
      </c>
      <c r="AY407" s="5"/>
      <c r="AZ407" s="53">
        <f t="shared" si="26"/>
        <v>1</v>
      </c>
      <c r="BA407" s="5"/>
      <c r="BB407" s="5"/>
      <c r="BC407" s="5"/>
    </row>
    <row r="408" ht="12.75" customHeight="1">
      <c r="A408" s="25"/>
      <c r="B408" s="27" t="s">
        <v>714</v>
      </c>
      <c r="C408" s="113">
        <v>11777.29</v>
      </c>
      <c r="D408" s="28">
        <v>10512.0</v>
      </c>
      <c r="E408" s="29" t="s">
        <v>49</v>
      </c>
      <c r="F408" s="30">
        <v>44592.0</v>
      </c>
      <c r="G408" s="30" t="s">
        <v>40</v>
      </c>
      <c r="H408" s="30">
        <v>44679.0</v>
      </c>
      <c r="I408" s="32">
        <f t="shared" si="1"/>
        <v>2.9</v>
      </c>
      <c r="J408" s="33" t="s">
        <v>715</v>
      </c>
      <c r="K408" s="34">
        <v>12000.0</v>
      </c>
      <c r="L408" s="65">
        <v>4522.24</v>
      </c>
      <c r="M408" s="35">
        <v>1817.2399999999998</v>
      </c>
      <c r="N408" s="35">
        <v>0.0</v>
      </c>
      <c r="O408" s="35">
        <f t="shared" si="67"/>
        <v>0</v>
      </c>
      <c r="P408" s="35">
        <f t="shared" si="68"/>
        <v>4851.48</v>
      </c>
      <c r="Q408" s="36">
        <f t="shared" si="4"/>
        <v>0.4615182648</v>
      </c>
      <c r="R408" s="36">
        <f t="shared" si="5"/>
        <v>0.5384817352</v>
      </c>
      <c r="S408" s="37"/>
      <c r="T408" s="5"/>
      <c r="U408" s="54">
        <v>4016.8</v>
      </c>
      <c r="V408" s="55">
        <v>3058.33</v>
      </c>
      <c r="W408" s="55">
        <f t="shared" si="66"/>
        <v>7075.13</v>
      </c>
      <c r="X408" s="56">
        <v>0.0975</v>
      </c>
      <c r="Y408" s="55">
        <f t="shared" si="63"/>
        <v>505.44</v>
      </c>
      <c r="Z408" s="55">
        <f t="shared" si="43"/>
        <v>505.44</v>
      </c>
      <c r="AA408" s="57">
        <f t="shared" si="44"/>
        <v>4522.24</v>
      </c>
      <c r="AB408" s="5"/>
      <c r="AC408" s="42">
        <f t="shared" si="6"/>
        <v>1</v>
      </c>
      <c r="AD408" s="3">
        <f t="shared" si="7"/>
        <v>1</v>
      </c>
      <c r="AE408" s="3">
        <f t="shared" si="8"/>
        <v>1</v>
      </c>
      <c r="AF408" s="43">
        <f t="shared" si="9"/>
        <v>1817.24</v>
      </c>
      <c r="AG408" s="44">
        <f t="shared" si="10"/>
        <v>10512</v>
      </c>
      <c r="AH408" s="45">
        <f t="shared" si="11"/>
        <v>2.9</v>
      </c>
      <c r="AI408" s="46">
        <f t="shared" si="12"/>
        <v>0.0022748289</v>
      </c>
      <c r="AJ408" s="47">
        <f t="shared" si="13"/>
        <v>0.001049875087</v>
      </c>
      <c r="AK408" s="5"/>
      <c r="AL408" s="42">
        <f t="shared" si="14"/>
        <v>0</v>
      </c>
      <c r="AM408" s="3">
        <f t="shared" si="15"/>
        <v>1</v>
      </c>
      <c r="AN408" s="3">
        <f t="shared" si="16"/>
        <v>0</v>
      </c>
      <c r="AO408" s="3">
        <f t="shared" si="17"/>
        <v>0</v>
      </c>
      <c r="AP408" s="44">
        <f t="shared" si="18"/>
        <v>0</v>
      </c>
      <c r="AQ408" s="48">
        <f t="shared" si="19"/>
        <v>0</v>
      </c>
      <c r="AR408" s="122">
        <f t="shared" si="20"/>
        <v>0</v>
      </c>
      <c r="AS408" s="47">
        <f t="shared" si="21"/>
        <v>0</v>
      </c>
      <c r="AT408" s="5"/>
      <c r="AU408" s="49">
        <f t="shared" si="27"/>
        <v>10512</v>
      </c>
      <c r="AV408" s="50">
        <f t="shared" si="23"/>
        <v>1</v>
      </c>
      <c r="AW408" s="51">
        <f t="shared" si="24"/>
        <v>0.001019907734</v>
      </c>
      <c r="AX408" s="52">
        <f t="shared" si="25"/>
        <v>0.0004707060475</v>
      </c>
      <c r="AY408" s="5"/>
      <c r="AZ408" s="53">
        <f t="shared" si="26"/>
        <v>1</v>
      </c>
      <c r="BA408" s="5"/>
      <c r="BB408" s="5"/>
      <c r="BC408" s="5"/>
    </row>
    <row r="409" ht="12.75" customHeight="1">
      <c r="A409" s="25"/>
      <c r="B409" s="27" t="s">
        <v>111</v>
      </c>
      <c r="C409" s="113">
        <v>7000.0</v>
      </c>
      <c r="D409" s="28">
        <v>6253.32</v>
      </c>
      <c r="E409" s="29" t="s">
        <v>49</v>
      </c>
      <c r="F409" s="30">
        <v>44620.0</v>
      </c>
      <c r="G409" s="117" t="s">
        <v>40</v>
      </c>
      <c r="H409" s="123">
        <v>44788.0</v>
      </c>
      <c r="I409" s="32">
        <f t="shared" si="1"/>
        <v>5.6</v>
      </c>
      <c r="J409" s="30" t="s">
        <v>129</v>
      </c>
      <c r="K409" s="125">
        <v>7000.0</v>
      </c>
      <c r="L409" s="115">
        <v>303.0</v>
      </c>
      <c r="M409" s="112">
        <v>1544.37</v>
      </c>
      <c r="N409" s="112">
        <v>175.41</v>
      </c>
      <c r="O409" s="35">
        <f t="shared" si="67"/>
        <v>0</v>
      </c>
      <c r="P409" s="35">
        <f t="shared" si="68"/>
        <v>1276.1</v>
      </c>
      <c r="Q409" s="36">
        <f t="shared" si="4"/>
        <v>0.2040675993</v>
      </c>
      <c r="R409" s="36">
        <f t="shared" si="5"/>
        <v>0.7959324007</v>
      </c>
      <c r="S409" s="37"/>
      <c r="T409" s="5"/>
      <c r="U409" s="132">
        <f>SUM(10.27+11.24+1.33)</f>
        <v>22.84</v>
      </c>
      <c r="V409" s="133">
        <v>1169.06</v>
      </c>
      <c r="W409" s="55">
        <f t="shared" si="66"/>
        <v>1191.9</v>
      </c>
      <c r="X409" s="127">
        <v>0.091</v>
      </c>
      <c r="Y409" s="55">
        <f t="shared" si="63"/>
        <v>280.6284427</v>
      </c>
      <c r="Z409" s="55">
        <f t="shared" si="43"/>
        <v>280.6284427</v>
      </c>
      <c r="AA409" s="57">
        <f t="shared" si="44"/>
        <v>303.4684427</v>
      </c>
      <c r="AB409" s="5"/>
      <c r="AC409" s="42">
        <f t="shared" si="6"/>
        <v>1</v>
      </c>
      <c r="AD409" s="3">
        <f t="shared" si="7"/>
        <v>1</v>
      </c>
      <c r="AE409" s="3">
        <f t="shared" si="8"/>
        <v>1</v>
      </c>
      <c r="AF409" s="43">
        <f t="shared" si="9"/>
        <v>1719.78</v>
      </c>
      <c r="AG409" s="44">
        <f t="shared" si="10"/>
        <v>6253.32</v>
      </c>
      <c r="AH409" s="45">
        <f t="shared" si="11"/>
        <v>5.6</v>
      </c>
      <c r="AI409" s="46">
        <f t="shared" si="12"/>
        <v>0.001353237544</v>
      </c>
      <c r="AJ409" s="47">
        <f t="shared" si="13"/>
        <v>0.0002761519368</v>
      </c>
      <c r="AK409" s="5"/>
      <c r="AL409" s="42">
        <f t="shared" si="14"/>
        <v>0</v>
      </c>
      <c r="AM409" s="3">
        <f t="shared" si="15"/>
        <v>1</v>
      </c>
      <c r="AN409" s="3">
        <f t="shared" si="16"/>
        <v>0</v>
      </c>
      <c r="AO409" s="3">
        <f t="shared" si="17"/>
        <v>0</v>
      </c>
      <c r="AP409" s="44">
        <f t="shared" si="18"/>
        <v>0</v>
      </c>
      <c r="AQ409" s="48">
        <f t="shared" si="19"/>
        <v>0</v>
      </c>
      <c r="AR409" s="122">
        <f t="shared" si="20"/>
        <v>0</v>
      </c>
      <c r="AS409" s="47">
        <f t="shared" si="21"/>
        <v>0</v>
      </c>
      <c r="AT409" s="5"/>
      <c r="AU409" s="49">
        <f t="shared" si="27"/>
        <v>6253.32</v>
      </c>
      <c r="AV409" s="50">
        <f t="shared" si="23"/>
        <v>1</v>
      </c>
      <c r="AW409" s="51">
        <f t="shared" si="24"/>
        <v>0.0006067170308</v>
      </c>
      <c r="AX409" s="52">
        <f t="shared" si="25"/>
        <v>0.0001238112879</v>
      </c>
      <c r="AY409" s="5"/>
      <c r="AZ409" s="53">
        <f t="shared" si="26"/>
        <v>1</v>
      </c>
      <c r="BA409" s="5"/>
      <c r="BB409" s="5"/>
      <c r="BC409" s="5"/>
    </row>
    <row r="410" ht="12.75" customHeight="1">
      <c r="A410" s="25"/>
      <c r="B410" s="134" t="s">
        <v>716</v>
      </c>
      <c r="C410" s="135">
        <v>30702.76</v>
      </c>
      <c r="D410" s="136">
        <v>19467.08</v>
      </c>
      <c r="E410" s="137" t="s">
        <v>49</v>
      </c>
      <c r="F410" s="138">
        <v>44703.0</v>
      </c>
      <c r="G410" s="139" t="s">
        <v>40</v>
      </c>
      <c r="H410" s="123">
        <v>44862.0</v>
      </c>
      <c r="I410" s="32">
        <f t="shared" si="1"/>
        <v>5.3</v>
      </c>
      <c r="J410" s="140" t="s">
        <v>129</v>
      </c>
      <c r="K410" s="141">
        <v>30000.0</v>
      </c>
      <c r="L410" s="112">
        <v>57.0</v>
      </c>
      <c r="M410" s="112">
        <v>2070.41</v>
      </c>
      <c r="N410" s="112">
        <v>335.0</v>
      </c>
      <c r="O410" s="35">
        <f t="shared" si="67"/>
        <v>0</v>
      </c>
      <c r="P410" s="35">
        <f t="shared" si="68"/>
        <v>0</v>
      </c>
      <c r="Q410" s="36">
        <f t="shared" si="4"/>
        <v>0</v>
      </c>
      <c r="R410" s="36">
        <f t="shared" si="5"/>
        <v>1</v>
      </c>
      <c r="S410" s="37"/>
      <c r="T410" s="5"/>
      <c r="U410" s="132">
        <f>11.26+15.79+1.46</f>
        <v>28.51</v>
      </c>
      <c r="V410" s="133">
        <v>0.0</v>
      </c>
      <c r="W410" s="55">
        <f t="shared" si="66"/>
        <v>28.51</v>
      </c>
      <c r="X410" s="127">
        <v>0.0874</v>
      </c>
      <c r="Y410" s="55">
        <f t="shared" si="63"/>
        <v>839.0578152</v>
      </c>
      <c r="Z410" s="55">
        <f t="shared" si="43"/>
        <v>28.51</v>
      </c>
      <c r="AA410" s="57">
        <f t="shared" si="44"/>
        <v>57.02</v>
      </c>
      <c r="AB410" s="5"/>
      <c r="AC410" s="42">
        <f t="shared" si="6"/>
        <v>1</v>
      </c>
      <c r="AD410" s="3">
        <f t="shared" si="7"/>
        <v>1</v>
      </c>
      <c r="AE410" s="3">
        <f t="shared" si="8"/>
        <v>1</v>
      </c>
      <c r="AF410" s="43">
        <f t="shared" si="9"/>
        <v>2405.41</v>
      </c>
      <c r="AG410" s="44">
        <f t="shared" si="10"/>
        <v>19467.08</v>
      </c>
      <c r="AH410" s="45">
        <f t="shared" si="11"/>
        <v>5.3</v>
      </c>
      <c r="AI410" s="46">
        <f t="shared" si="12"/>
        <v>0.004212735559</v>
      </c>
      <c r="AJ410" s="47">
        <f t="shared" si="13"/>
        <v>0</v>
      </c>
      <c r="AK410" s="5"/>
      <c r="AL410" s="42">
        <f t="shared" si="14"/>
        <v>0</v>
      </c>
      <c r="AM410" s="3">
        <f t="shared" si="15"/>
        <v>1</v>
      </c>
      <c r="AN410" s="3">
        <f t="shared" si="16"/>
        <v>0</v>
      </c>
      <c r="AO410" s="3">
        <f t="shared" si="17"/>
        <v>0</v>
      </c>
      <c r="AP410" s="44">
        <f t="shared" si="18"/>
        <v>0</v>
      </c>
      <c r="AQ410" s="48">
        <f t="shared" si="19"/>
        <v>0</v>
      </c>
      <c r="AR410" s="122">
        <f t="shared" si="20"/>
        <v>0</v>
      </c>
      <c r="AS410" s="47">
        <f t="shared" si="21"/>
        <v>0</v>
      </c>
      <c r="AT410" s="5"/>
      <c r="AU410" s="49">
        <f t="shared" si="27"/>
        <v>19467.08</v>
      </c>
      <c r="AV410" s="50">
        <f t="shared" si="23"/>
        <v>1</v>
      </c>
      <c r="AW410" s="51">
        <f t="shared" si="24"/>
        <v>0.001888758128</v>
      </c>
      <c r="AX410" s="52">
        <f t="shared" si="25"/>
        <v>0</v>
      </c>
      <c r="AY410" s="5"/>
      <c r="AZ410" s="53">
        <f t="shared" si="26"/>
        <v>1</v>
      </c>
      <c r="BA410" s="5"/>
      <c r="BB410" s="5"/>
      <c r="BC410" s="5"/>
    </row>
    <row r="411" ht="12.75" customHeight="1">
      <c r="A411" s="25"/>
      <c r="B411" s="27" t="s">
        <v>717</v>
      </c>
      <c r="C411" s="113">
        <v>113745.0</v>
      </c>
      <c r="D411" s="28">
        <v>96217.0</v>
      </c>
      <c r="E411" s="142" t="s">
        <v>39</v>
      </c>
      <c r="F411" s="138">
        <v>44735.0</v>
      </c>
      <c r="G411" s="139" t="s">
        <v>40</v>
      </c>
      <c r="H411" s="123">
        <v>45043.0</v>
      </c>
      <c r="I411" s="32">
        <f t="shared" si="1"/>
        <v>10.26666667</v>
      </c>
      <c r="J411" s="143" t="s">
        <v>718</v>
      </c>
      <c r="K411" s="141">
        <v>120000.0</v>
      </c>
      <c r="L411" s="112">
        <v>6463.12</v>
      </c>
      <c r="M411" s="112">
        <v>2809.05</v>
      </c>
      <c r="N411" s="112">
        <v>1453.84</v>
      </c>
      <c r="O411" s="35">
        <f t="shared" si="67"/>
        <v>0</v>
      </c>
      <c r="P411" s="35">
        <f t="shared" si="68"/>
        <v>0</v>
      </c>
      <c r="Q411" s="36">
        <f t="shared" si="4"/>
        <v>0</v>
      </c>
      <c r="R411" s="36">
        <f t="shared" si="5"/>
        <v>1</v>
      </c>
      <c r="S411" s="37"/>
      <c r="T411" s="5"/>
      <c r="U411" s="132"/>
      <c r="V411" s="144"/>
      <c r="W411" s="144"/>
      <c r="X411" s="145"/>
      <c r="Y411" s="144"/>
      <c r="Z411" s="144"/>
      <c r="AA411" s="146">
        <f t="shared" si="44"/>
        <v>0</v>
      </c>
      <c r="AB411" s="5"/>
      <c r="AC411" s="42">
        <f t="shared" si="6"/>
        <v>0</v>
      </c>
      <c r="AD411" s="3">
        <f t="shared" si="7"/>
        <v>1</v>
      </c>
      <c r="AE411" s="3">
        <f t="shared" si="8"/>
        <v>0</v>
      </c>
      <c r="AF411" s="43">
        <f t="shared" si="9"/>
        <v>0</v>
      </c>
      <c r="AG411" s="44">
        <f t="shared" si="10"/>
        <v>0</v>
      </c>
      <c r="AH411" s="45">
        <f t="shared" si="11"/>
        <v>0</v>
      </c>
      <c r="AI411" s="46">
        <f t="shared" si="12"/>
        <v>0</v>
      </c>
      <c r="AJ411" s="47">
        <f t="shared" si="13"/>
        <v>0</v>
      </c>
      <c r="AK411" s="5"/>
      <c r="AL411" s="42">
        <f t="shared" si="14"/>
        <v>1</v>
      </c>
      <c r="AM411" s="3">
        <f t="shared" si="15"/>
        <v>1</v>
      </c>
      <c r="AN411" s="3">
        <f t="shared" si="16"/>
        <v>1</v>
      </c>
      <c r="AO411" s="3">
        <f t="shared" si="17"/>
        <v>4262.89</v>
      </c>
      <c r="AP411" s="44">
        <f t="shared" si="18"/>
        <v>96217</v>
      </c>
      <c r="AQ411" s="48">
        <f t="shared" si="19"/>
        <v>10.26666667</v>
      </c>
      <c r="AR411" s="122">
        <f t="shared" si="20"/>
        <v>0.01687854846</v>
      </c>
      <c r="AS411" s="47">
        <f t="shared" si="21"/>
        <v>0</v>
      </c>
      <c r="AT411" s="5"/>
      <c r="AU411" s="49">
        <f t="shared" si="27"/>
        <v>96217</v>
      </c>
      <c r="AV411" s="50">
        <f t="shared" si="23"/>
        <v>1</v>
      </c>
      <c r="AW411" s="51">
        <f t="shared" si="24"/>
        <v>0.009335279908</v>
      </c>
      <c r="AX411" s="52">
        <f t="shared" si="25"/>
        <v>0</v>
      </c>
      <c r="AY411" s="5"/>
      <c r="AZ411" s="53">
        <f t="shared" si="26"/>
        <v>1</v>
      </c>
      <c r="BA411" s="5"/>
      <c r="BB411" s="5"/>
      <c r="BC411" s="5"/>
    </row>
    <row r="412" ht="12.75" customHeight="1">
      <c r="A412" s="25"/>
      <c r="B412" s="27" t="s">
        <v>719</v>
      </c>
      <c r="C412" s="113">
        <v>31483.84</v>
      </c>
      <c r="D412" s="28">
        <v>27819.0</v>
      </c>
      <c r="E412" s="29" t="s">
        <v>49</v>
      </c>
      <c r="F412" s="138">
        <v>44742.0</v>
      </c>
      <c r="G412" s="139" t="s">
        <v>40</v>
      </c>
      <c r="H412" s="123">
        <v>44820.0</v>
      </c>
      <c r="I412" s="32">
        <f t="shared" si="1"/>
        <v>2.6</v>
      </c>
      <c r="J412" s="140" t="s">
        <v>129</v>
      </c>
      <c r="K412" s="141">
        <v>35000.0</v>
      </c>
      <c r="L412" s="112">
        <v>1903.0</v>
      </c>
      <c r="M412" s="112">
        <v>2621.16</v>
      </c>
      <c r="N412" s="112">
        <v>652.2</v>
      </c>
      <c r="O412" s="35">
        <f t="shared" si="67"/>
        <v>0</v>
      </c>
      <c r="P412" s="35">
        <f t="shared" si="68"/>
        <v>0</v>
      </c>
      <c r="Q412" s="36">
        <f t="shared" si="4"/>
        <v>0</v>
      </c>
      <c r="R412" s="36">
        <f t="shared" si="5"/>
        <v>1</v>
      </c>
      <c r="S412" s="37"/>
      <c r="T412" s="5"/>
      <c r="U412" s="132">
        <f>357.73+353.09+46.51</f>
        <v>757.33</v>
      </c>
      <c r="V412" s="133">
        <v>4295.5</v>
      </c>
      <c r="W412" s="55">
        <f t="shared" ref="W412:W414" si="69">U412+V412</f>
        <v>5052.83</v>
      </c>
      <c r="X412" s="127">
        <v>0.0835</v>
      </c>
      <c r="Y412" s="55">
        <f t="shared" ref="Y412:Y414" si="70">((X412*D412)/365)*180</f>
        <v>1145.533068</v>
      </c>
      <c r="Z412" s="55">
        <f t="shared" ref="Z412:Z414" si="71">IF(Y412&lt;W412,Y412,W412)</f>
        <v>1145.533068</v>
      </c>
      <c r="AA412" s="57">
        <f t="shared" si="44"/>
        <v>1902.863068</v>
      </c>
      <c r="AB412" s="5"/>
      <c r="AC412" s="42">
        <f t="shared" si="6"/>
        <v>1</v>
      </c>
      <c r="AD412" s="3">
        <f t="shared" si="7"/>
        <v>1</v>
      </c>
      <c r="AE412" s="3">
        <f t="shared" si="8"/>
        <v>1</v>
      </c>
      <c r="AF412" s="43">
        <f t="shared" si="9"/>
        <v>3273.36</v>
      </c>
      <c r="AG412" s="44">
        <f t="shared" si="10"/>
        <v>27819</v>
      </c>
      <c r="AH412" s="45">
        <f t="shared" si="11"/>
        <v>2.6</v>
      </c>
      <c r="AI412" s="46">
        <f t="shared" si="12"/>
        <v>0.006020116551</v>
      </c>
      <c r="AJ412" s="47">
        <f t="shared" si="13"/>
        <v>0</v>
      </c>
      <c r="AK412" s="5"/>
      <c r="AL412" s="42">
        <f t="shared" si="14"/>
        <v>0</v>
      </c>
      <c r="AM412" s="3">
        <f t="shared" si="15"/>
        <v>1</v>
      </c>
      <c r="AN412" s="3">
        <f t="shared" si="16"/>
        <v>0</v>
      </c>
      <c r="AO412" s="3">
        <f t="shared" si="17"/>
        <v>0</v>
      </c>
      <c r="AP412" s="44">
        <f t="shared" si="18"/>
        <v>0</v>
      </c>
      <c r="AQ412" s="48">
        <f t="shared" si="19"/>
        <v>0</v>
      </c>
      <c r="AR412" s="122">
        <f t="shared" si="20"/>
        <v>0</v>
      </c>
      <c r="AS412" s="47">
        <f t="shared" si="21"/>
        <v>0</v>
      </c>
      <c r="AT412" s="5"/>
      <c r="AU412" s="49">
        <f t="shared" si="27"/>
        <v>27819</v>
      </c>
      <c r="AV412" s="50">
        <f t="shared" si="23"/>
        <v>1</v>
      </c>
      <c r="AW412" s="51">
        <f t="shared" si="24"/>
        <v>0.002699088017</v>
      </c>
      <c r="AX412" s="52">
        <f t="shared" si="25"/>
        <v>0</v>
      </c>
      <c r="AY412" s="5"/>
      <c r="AZ412" s="53">
        <f t="shared" si="26"/>
        <v>1</v>
      </c>
      <c r="BA412" s="5"/>
      <c r="BB412" s="5"/>
      <c r="BC412" s="5"/>
    </row>
    <row r="413" ht="12.75" customHeight="1">
      <c r="A413" s="25"/>
      <c r="B413" s="147" t="s">
        <v>720</v>
      </c>
      <c r="C413" s="135">
        <v>20000.0</v>
      </c>
      <c r="D413" s="148">
        <v>14998.0</v>
      </c>
      <c r="E413" s="142" t="s">
        <v>49</v>
      </c>
      <c r="F413" s="149">
        <v>44772.0</v>
      </c>
      <c r="G413" s="117" t="s">
        <v>40</v>
      </c>
      <c r="H413" s="123">
        <v>44865.0</v>
      </c>
      <c r="I413" s="32">
        <f t="shared" si="1"/>
        <v>3.1</v>
      </c>
      <c r="J413" s="124" t="s">
        <v>129</v>
      </c>
      <c r="K413" s="125">
        <v>18500.0</v>
      </c>
      <c r="L413" s="150">
        <v>1539.0</v>
      </c>
      <c r="M413" s="151">
        <v>2636.26</v>
      </c>
      <c r="N413" s="151">
        <v>0.0</v>
      </c>
      <c r="O413" s="35">
        <f t="shared" si="67"/>
        <v>0</v>
      </c>
      <c r="P413" s="35">
        <f t="shared" si="68"/>
        <v>673.26</v>
      </c>
      <c r="Q413" s="36">
        <f t="shared" si="4"/>
        <v>0.04488998533</v>
      </c>
      <c r="R413" s="36">
        <f t="shared" si="5"/>
        <v>0.9551100147</v>
      </c>
      <c r="S413" s="37"/>
      <c r="T413" s="5"/>
      <c r="U413" s="132">
        <f>403.5+364.65+29.54+52.45</f>
        <v>850.14</v>
      </c>
      <c r="V413" s="133">
        <v>2289.69</v>
      </c>
      <c r="W413" s="55">
        <f t="shared" si="69"/>
        <v>3139.83</v>
      </c>
      <c r="X413" s="127">
        <v>0.0931</v>
      </c>
      <c r="Y413" s="55">
        <f t="shared" si="70"/>
        <v>688.5931068</v>
      </c>
      <c r="Z413" s="55">
        <f t="shared" si="71"/>
        <v>688.5931068</v>
      </c>
      <c r="AA413" s="57">
        <f t="shared" si="44"/>
        <v>1538.733107</v>
      </c>
      <c r="AB413" s="5"/>
      <c r="AC413" s="42">
        <f t="shared" si="6"/>
        <v>1</v>
      </c>
      <c r="AD413" s="3">
        <f t="shared" si="7"/>
        <v>1</v>
      </c>
      <c r="AE413" s="3">
        <f t="shared" si="8"/>
        <v>1</v>
      </c>
      <c r="AF413" s="43">
        <f t="shared" si="9"/>
        <v>2636.26</v>
      </c>
      <c r="AG413" s="44">
        <f t="shared" si="10"/>
        <v>14998</v>
      </c>
      <c r="AH413" s="45">
        <f t="shared" si="11"/>
        <v>3.1</v>
      </c>
      <c r="AI413" s="46">
        <f t="shared" si="12"/>
        <v>0.003245612999</v>
      </c>
      <c r="AJ413" s="47">
        <f t="shared" si="13"/>
        <v>0.0001456955199</v>
      </c>
      <c r="AK413" s="5"/>
      <c r="AL413" s="42">
        <f t="shared" si="14"/>
        <v>0</v>
      </c>
      <c r="AM413" s="3">
        <f t="shared" si="15"/>
        <v>1</v>
      </c>
      <c r="AN413" s="3">
        <f t="shared" si="16"/>
        <v>0</v>
      </c>
      <c r="AO413" s="3">
        <f t="shared" si="17"/>
        <v>0</v>
      </c>
      <c r="AP413" s="44">
        <f t="shared" si="18"/>
        <v>0</v>
      </c>
      <c r="AQ413" s="48">
        <f t="shared" si="19"/>
        <v>0</v>
      </c>
      <c r="AR413" s="122">
        <f t="shared" si="20"/>
        <v>0</v>
      </c>
      <c r="AS413" s="47">
        <f t="shared" si="21"/>
        <v>0</v>
      </c>
      <c r="AT413" s="5"/>
      <c r="AU413" s="49">
        <f t="shared" si="27"/>
        <v>14998</v>
      </c>
      <c r="AV413" s="50">
        <f t="shared" si="23"/>
        <v>1</v>
      </c>
      <c r="AW413" s="51">
        <f t="shared" si="24"/>
        <v>0.001455153747</v>
      </c>
      <c r="AX413" s="52">
        <f t="shared" si="25"/>
        <v>0.00006532183035</v>
      </c>
      <c r="AY413" s="5"/>
      <c r="AZ413" s="53">
        <f t="shared" si="26"/>
        <v>1</v>
      </c>
      <c r="BA413" s="5"/>
      <c r="BB413" s="5"/>
      <c r="BC413" s="5"/>
    </row>
    <row r="414" ht="12.75" customHeight="1">
      <c r="A414" s="25"/>
      <c r="B414" s="27" t="s">
        <v>721</v>
      </c>
      <c r="C414" s="135">
        <v>29000.0</v>
      </c>
      <c r="D414" s="148">
        <v>18105.39</v>
      </c>
      <c r="E414" s="142" t="s">
        <v>49</v>
      </c>
      <c r="F414" s="149">
        <v>44804.0</v>
      </c>
      <c r="G414" s="117" t="s">
        <v>40</v>
      </c>
      <c r="H414" s="123">
        <v>44841.0</v>
      </c>
      <c r="I414" s="32">
        <f t="shared" si="1"/>
        <v>1.233333333</v>
      </c>
      <c r="J414" s="124" t="s">
        <v>129</v>
      </c>
      <c r="K414" s="125">
        <v>28000.0</v>
      </c>
      <c r="L414" s="150">
        <v>1538.0</v>
      </c>
      <c r="M414" s="151">
        <v>3644.37</v>
      </c>
      <c r="N414" s="151">
        <v>197.89</v>
      </c>
      <c r="O414" s="35">
        <f t="shared" si="67"/>
        <v>0</v>
      </c>
      <c r="P414" s="35">
        <f t="shared" si="68"/>
        <v>0</v>
      </c>
      <c r="Q414" s="36">
        <f t="shared" si="4"/>
        <v>0</v>
      </c>
      <c r="R414" s="36">
        <f t="shared" si="5"/>
        <v>1</v>
      </c>
      <c r="S414" s="37"/>
      <c r="T414" s="5"/>
      <c r="U414" s="132">
        <f>271.01+267.52+157.12+35.23</f>
        <v>730.88</v>
      </c>
      <c r="V414" s="133">
        <v>1283.73</v>
      </c>
      <c r="W414" s="55">
        <f t="shared" si="69"/>
        <v>2014.61</v>
      </c>
      <c r="X414" s="127">
        <v>0.0904</v>
      </c>
      <c r="Y414" s="55">
        <f t="shared" si="70"/>
        <v>807.1531673</v>
      </c>
      <c r="Z414" s="55">
        <f t="shared" si="71"/>
        <v>807.1531673</v>
      </c>
      <c r="AA414" s="57">
        <f t="shared" si="44"/>
        <v>1538.033167</v>
      </c>
      <c r="AB414" s="5"/>
      <c r="AC414" s="42">
        <f t="shared" si="6"/>
        <v>1</v>
      </c>
      <c r="AD414" s="3">
        <f t="shared" si="7"/>
        <v>1</v>
      </c>
      <c r="AE414" s="3">
        <f t="shared" si="8"/>
        <v>1</v>
      </c>
      <c r="AF414" s="43">
        <f t="shared" si="9"/>
        <v>3842.26</v>
      </c>
      <c r="AG414" s="44">
        <f t="shared" si="10"/>
        <v>18105.39</v>
      </c>
      <c r="AH414" s="45">
        <f t="shared" si="11"/>
        <v>1.233333333</v>
      </c>
      <c r="AI414" s="46">
        <f t="shared" si="12"/>
        <v>0.003918061684</v>
      </c>
      <c r="AJ414" s="47">
        <f t="shared" si="13"/>
        <v>0</v>
      </c>
      <c r="AK414" s="5"/>
      <c r="AL414" s="42">
        <f t="shared" si="14"/>
        <v>0</v>
      </c>
      <c r="AM414" s="3">
        <f t="shared" si="15"/>
        <v>1</v>
      </c>
      <c r="AN414" s="3">
        <f t="shared" si="16"/>
        <v>0</v>
      </c>
      <c r="AO414" s="3">
        <f t="shared" si="17"/>
        <v>0</v>
      </c>
      <c r="AP414" s="44">
        <f t="shared" si="18"/>
        <v>0</v>
      </c>
      <c r="AQ414" s="48">
        <f t="shared" si="19"/>
        <v>0</v>
      </c>
      <c r="AR414" s="122">
        <f t="shared" si="20"/>
        <v>0</v>
      </c>
      <c r="AS414" s="47">
        <f t="shared" si="21"/>
        <v>0</v>
      </c>
      <c r="AT414" s="5"/>
      <c r="AU414" s="49">
        <f t="shared" si="27"/>
        <v>18105.39</v>
      </c>
      <c r="AV414" s="50">
        <f t="shared" si="23"/>
        <v>1</v>
      </c>
      <c r="AW414" s="51">
        <f t="shared" si="24"/>
        <v>0.001756642625</v>
      </c>
      <c r="AX414" s="52">
        <f t="shared" si="25"/>
        <v>0</v>
      </c>
      <c r="AY414" s="5"/>
      <c r="AZ414" s="53">
        <f t="shared" si="26"/>
        <v>1</v>
      </c>
      <c r="BA414" s="5"/>
      <c r="BB414" s="5"/>
      <c r="BC414" s="5"/>
    </row>
    <row r="415" ht="12.75" customHeight="1">
      <c r="A415" s="25"/>
      <c r="B415" s="27" t="s">
        <v>722</v>
      </c>
      <c r="C415" s="147">
        <v>20656.41</v>
      </c>
      <c r="D415" s="148">
        <v>17416.0</v>
      </c>
      <c r="E415" s="142" t="s">
        <v>49</v>
      </c>
      <c r="F415" s="149">
        <v>44804.0</v>
      </c>
      <c r="G415" s="117" t="s">
        <v>40</v>
      </c>
      <c r="H415" s="123">
        <v>45029.0</v>
      </c>
      <c r="I415" s="32">
        <f t="shared" si="1"/>
        <v>7.5</v>
      </c>
      <c r="J415" s="124" t="s">
        <v>723</v>
      </c>
      <c r="K415" s="125">
        <v>23000.0</v>
      </c>
      <c r="L415" s="150">
        <v>3702.24</v>
      </c>
      <c r="M415" s="151">
        <v>2272.26</v>
      </c>
      <c r="N415" s="151">
        <v>1175.36</v>
      </c>
      <c r="O415" s="35">
        <f t="shared" si="67"/>
        <v>0</v>
      </c>
      <c r="P415" s="35">
        <f t="shared" si="68"/>
        <v>1565.86</v>
      </c>
      <c r="Q415" s="36">
        <f t="shared" si="4"/>
        <v>0.08990927882</v>
      </c>
      <c r="R415" s="36">
        <f t="shared" si="5"/>
        <v>0.9100907212</v>
      </c>
      <c r="S415" s="37"/>
      <c r="T415" s="5"/>
      <c r="U415" s="132"/>
      <c r="V415" s="144"/>
      <c r="W415" s="144"/>
      <c r="X415" s="145"/>
      <c r="Y415" s="144"/>
      <c r="Z415" s="144"/>
      <c r="AA415" s="146"/>
      <c r="AB415" s="5"/>
      <c r="AC415" s="42">
        <f t="shared" si="6"/>
        <v>1</v>
      </c>
      <c r="AD415" s="3">
        <f t="shared" si="7"/>
        <v>1</v>
      </c>
      <c r="AE415" s="3">
        <f t="shared" si="8"/>
        <v>1</v>
      </c>
      <c r="AF415" s="43">
        <f t="shared" si="9"/>
        <v>3447.62</v>
      </c>
      <c r="AG415" s="44">
        <f t="shared" si="10"/>
        <v>17416</v>
      </c>
      <c r="AH415" s="45">
        <f t="shared" si="11"/>
        <v>7.5</v>
      </c>
      <c r="AI415" s="46">
        <f t="shared" si="12"/>
        <v>0.003768875583</v>
      </c>
      <c r="AJ415" s="47">
        <f t="shared" si="13"/>
        <v>0.0003388568857</v>
      </c>
      <c r="AK415" s="5"/>
      <c r="AL415" s="42">
        <f t="shared" si="14"/>
        <v>0</v>
      </c>
      <c r="AM415" s="3">
        <f t="shared" si="15"/>
        <v>1</v>
      </c>
      <c r="AN415" s="3">
        <f t="shared" si="16"/>
        <v>0</v>
      </c>
      <c r="AO415" s="3">
        <f t="shared" si="17"/>
        <v>0</v>
      </c>
      <c r="AP415" s="44">
        <f t="shared" si="18"/>
        <v>0</v>
      </c>
      <c r="AQ415" s="48">
        <f t="shared" si="19"/>
        <v>0</v>
      </c>
      <c r="AR415" s="122">
        <f t="shared" si="20"/>
        <v>0</v>
      </c>
      <c r="AS415" s="47">
        <f t="shared" si="21"/>
        <v>0</v>
      </c>
      <c r="AT415" s="5"/>
      <c r="AU415" s="49">
        <f t="shared" si="27"/>
        <v>17416</v>
      </c>
      <c r="AV415" s="50">
        <f t="shared" si="23"/>
        <v>1</v>
      </c>
      <c r="AW415" s="51">
        <f t="shared" si="24"/>
        <v>0.001689755811</v>
      </c>
      <c r="AX415" s="52">
        <f t="shared" si="25"/>
        <v>0.0001519247264</v>
      </c>
      <c r="AY415" s="5"/>
      <c r="AZ415" s="53">
        <f t="shared" si="26"/>
        <v>1</v>
      </c>
      <c r="BA415" s="5"/>
      <c r="BB415" s="5"/>
      <c r="BC415" s="5"/>
    </row>
    <row r="416" ht="12.75" customHeight="1">
      <c r="A416" s="25"/>
      <c r="B416" s="27" t="s">
        <v>724</v>
      </c>
      <c r="C416" s="147">
        <v>12014.38</v>
      </c>
      <c r="D416" s="148">
        <v>9160.0</v>
      </c>
      <c r="E416" s="142" t="s">
        <v>49</v>
      </c>
      <c r="F416" s="149">
        <v>44804.0</v>
      </c>
      <c r="G416" s="117" t="s">
        <v>40</v>
      </c>
      <c r="H416" s="123">
        <v>44977.0</v>
      </c>
      <c r="I416" s="152">
        <f t="shared" si="1"/>
        <v>5.766666667</v>
      </c>
      <c r="J416" s="124" t="s">
        <v>725</v>
      </c>
      <c r="K416" s="125">
        <v>15000.0</v>
      </c>
      <c r="L416" s="150">
        <v>1510.0</v>
      </c>
      <c r="M416" s="151">
        <v>1707.47</v>
      </c>
      <c r="N416" s="151">
        <v>1309.24</v>
      </c>
      <c r="O416" s="35">
        <f t="shared" si="67"/>
        <v>0</v>
      </c>
      <c r="P416" s="35">
        <f t="shared" si="68"/>
        <v>0</v>
      </c>
      <c r="Q416" s="36">
        <f t="shared" si="4"/>
        <v>0</v>
      </c>
      <c r="R416" s="36">
        <f t="shared" si="5"/>
        <v>1</v>
      </c>
      <c r="S416" s="37"/>
      <c r="T416" s="5"/>
      <c r="U416" s="132">
        <f>303.56+430.65+296.01+39.46</f>
        <v>1069.68</v>
      </c>
      <c r="V416" s="144">
        <v>3364.39</v>
      </c>
      <c r="W416" s="144">
        <f t="shared" ref="W416:W421" si="72">U416+V416</f>
        <v>4434.07</v>
      </c>
      <c r="X416" s="145">
        <v>0.0975</v>
      </c>
      <c r="Y416" s="55">
        <f t="shared" ref="Y416:Y421" si="73">((X416*D416)/365)*180</f>
        <v>440.4328767</v>
      </c>
      <c r="Z416" s="55">
        <f t="shared" ref="Z416:Z421" si="74">IF(Y416&lt;W416,Y416,W416)</f>
        <v>440.4328767</v>
      </c>
      <c r="AA416" s="57">
        <f t="shared" ref="AA416:AA421" si="75">U416+Z416</f>
        <v>1510.112877</v>
      </c>
      <c r="AB416" s="5"/>
      <c r="AC416" s="42">
        <f t="shared" si="6"/>
        <v>1</v>
      </c>
      <c r="AD416" s="3">
        <f t="shared" si="7"/>
        <v>1</v>
      </c>
      <c r="AE416" s="3">
        <f t="shared" si="8"/>
        <v>1</v>
      </c>
      <c r="AF416" s="43">
        <f t="shared" si="9"/>
        <v>3016.71</v>
      </c>
      <c r="AG416" s="44">
        <f t="shared" si="10"/>
        <v>9160</v>
      </c>
      <c r="AH416" s="45">
        <f t="shared" si="11"/>
        <v>5.766666667</v>
      </c>
      <c r="AI416" s="46">
        <f t="shared" si="12"/>
        <v>0.001982251972</v>
      </c>
      <c r="AJ416" s="47">
        <f t="shared" si="13"/>
        <v>0</v>
      </c>
      <c r="AK416" s="5"/>
      <c r="AL416" s="42">
        <f t="shared" si="14"/>
        <v>0</v>
      </c>
      <c r="AM416" s="3">
        <f t="shared" si="15"/>
        <v>1</v>
      </c>
      <c r="AN416" s="3">
        <f t="shared" si="16"/>
        <v>0</v>
      </c>
      <c r="AO416" s="3">
        <f t="shared" si="17"/>
        <v>0</v>
      </c>
      <c r="AP416" s="44">
        <f t="shared" si="18"/>
        <v>0</v>
      </c>
      <c r="AQ416" s="48">
        <f t="shared" si="19"/>
        <v>0</v>
      </c>
      <c r="AR416" s="122">
        <f t="shared" si="20"/>
        <v>0</v>
      </c>
      <c r="AS416" s="47">
        <f t="shared" si="21"/>
        <v>0</v>
      </c>
      <c r="AT416" s="5"/>
      <c r="AU416" s="49">
        <f t="shared" si="27"/>
        <v>9160</v>
      </c>
      <c r="AV416" s="50">
        <f t="shared" si="23"/>
        <v>1</v>
      </c>
      <c r="AW416" s="51">
        <f t="shared" si="24"/>
        <v>0.0008887323857</v>
      </c>
      <c r="AX416" s="52">
        <f t="shared" si="25"/>
        <v>0</v>
      </c>
      <c r="AY416" s="5"/>
      <c r="AZ416" s="53">
        <f t="shared" si="26"/>
        <v>1</v>
      </c>
      <c r="BA416" s="5"/>
      <c r="BB416" s="5"/>
      <c r="BC416" s="5"/>
    </row>
    <row r="417" ht="12.75" customHeight="1">
      <c r="A417" s="25"/>
      <c r="B417" s="27" t="s">
        <v>726</v>
      </c>
      <c r="C417" s="135">
        <v>60217.11</v>
      </c>
      <c r="D417" s="148">
        <v>53133.0</v>
      </c>
      <c r="E417" s="142" t="s">
        <v>49</v>
      </c>
      <c r="F417" s="149">
        <v>44804.0</v>
      </c>
      <c r="G417" s="117" t="s">
        <v>40</v>
      </c>
      <c r="H417" s="123">
        <v>45135.0</v>
      </c>
      <c r="I417" s="152">
        <f t="shared" si="1"/>
        <v>11.03333333</v>
      </c>
      <c r="J417" s="124" t="s">
        <v>727</v>
      </c>
      <c r="K417" s="125">
        <v>80000.0</v>
      </c>
      <c r="L417" s="150">
        <v>4458.0</v>
      </c>
      <c r="M417" s="151">
        <v>7878.59</v>
      </c>
      <c r="N417" s="151">
        <v>683.25</v>
      </c>
      <c r="O417" s="35">
        <f t="shared" si="67"/>
        <v>0</v>
      </c>
      <c r="P417" s="35">
        <f t="shared" si="68"/>
        <v>0</v>
      </c>
      <c r="Q417" s="36">
        <f t="shared" si="4"/>
        <v>0</v>
      </c>
      <c r="R417" s="36">
        <f t="shared" si="5"/>
        <v>1</v>
      </c>
      <c r="S417" s="37"/>
      <c r="T417" s="5"/>
      <c r="U417" s="132">
        <f>484.07+1561.24+145.68+62.93</f>
        <v>2253.92</v>
      </c>
      <c r="V417" s="133">
        <v>9181.19</v>
      </c>
      <c r="W417" s="144">
        <f t="shared" si="72"/>
        <v>11435.11</v>
      </c>
      <c r="X417" s="127">
        <v>0.0841</v>
      </c>
      <c r="Y417" s="55">
        <f t="shared" si="73"/>
        <v>2203.636586</v>
      </c>
      <c r="Z417" s="55">
        <f t="shared" si="74"/>
        <v>2203.636586</v>
      </c>
      <c r="AA417" s="57">
        <f t="shared" si="75"/>
        <v>4457.556586</v>
      </c>
      <c r="AB417" s="5"/>
      <c r="AC417" s="42">
        <f t="shared" si="6"/>
        <v>1</v>
      </c>
      <c r="AD417" s="3">
        <f t="shared" si="7"/>
        <v>1</v>
      </c>
      <c r="AE417" s="3">
        <f t="shared" si="8"/>
        <v>1</v>
      </c>
      <c r="AF417" s="43">
        <f t="shared" si="9"/>
        <v>8561.84</v>
      </c>
      <c r="AG417" s="44">
        <f t="shared" si="10"/>
        <v>53133</v>
      </c>
      <c r="AH417" s="45">
        <f t="shared" si="11"/>
        <v>11.03333333</v>
      </c>
      <c r="AI417" s="46">
        <f t="shared" si="12"/>
        <v>0.01149814345</v>
      </c>
      <c r="AJ417" s="47">
        <f t="shared" si="13"/>
        <v>0</v>
      </c>
      <c r="AK417" s="5"/>
      <c r="AL417" s="42">
        <f t="shared" si="14"/>
        <v>0</v>
      </c>
      <c r="AM417" s="3">
        <f t="shared" si="15"/>
        <v>1</v>
      </c>
      <c r="AN417" s="3">
        <f t="shared" si="16"/>
        <v>0</v>
      </c>
      <c r="AO417" s="3">
        <f t="shared" si="17"/>
        <v>0</v>
      </c>
      <c r="AP417" s="44">
        <f t="shared" si="18"/>
        <v>0</v>
      </c>
      <c r="AQ417" s="48">
        <f t="shared" si="19"/>
        <v>0</v>
      </c>
      <c r="AR417" s="122">
        <f t="shared" si="20"/>
        <v>0</v>
      </c>
      <c r="AS417" s="47">
        <f t="shared" si="21"/>
        <v>0</v>
      </c>
      <c r="AT417" s="5"/>
      <c r="AU417" s="49">
        <f t="shared" si="27"/>
        <v>53133</v>
      </c>
      <c r="AV417" s="50">
        <f t="shared" si="23"/>
        <v>1</v>
      </c>
      <c r="AW417" s="51">
        <f t="shared" si="24"/>
        <v>0.005155132953</v>
      </c>
      <c r="AX417" s="52">
        <f t="shared" si="25"/>
        <v>0</v>
      </c>
      <c r="AY417" s="5"/>
      <c r="AZ417" s="53">
        <f t="shared" si="26"/>
        <v>1</v>
      </c>
      <c r="BA417" s="5"/>
      <c r="BB417" s="5"/>
      <c r="BC417" s="5"/>
    </row>
    <row r="418" ht="12.75" customHeight="1">
      <c r="A418" s="25"/>
      <c r="B418" s="27" t="s">
        <v>728</v>
      </c>
      <c r="C418" s="135">
        <v>62070.0</v>
      </c>
      <c r="D418" s="148">
        <v>53348.0</v>
      </c>
      <c r="E418" s="142" t="s">
        <v>49</v>
      </c>
      <c r="F418" s="149">
        <v>44834.0</v>
      </c>
      <c r="G418" s="117" t="s">
        <v>40</v>
      </c>
      <c r="H418" s="123">
        <v>44854.0</v>
      </c>
      <c r="I418" s="32">
        <f t="shared" si="1"/>
        <v>0.6666666667</v>
      </c>
      <c r="J418" s="124" t="s">
        <v>129</v>
      </c>
      <c r="K418" s="125">
        <v>90000.0</v>
      </c>
      <c r="L418" s="150">
        <v>8022.0</v>
      </c>
      <c r="M418" s="151">
        <v>11798.32</v>
      </c>
      <c r="N418" s="151">
        <v>4588.65</v>
      </c>
      <c r="O418" s="35">
        <f t="shared" si="67"/>
        <v>0</v>
      </c>
      <c r="P418" s="35">
        <f t="shared" si="68"/>
        <v>0</v>
      </c>
      <c r="Q418" s="36">
        <f t="shared" si="4"/>
        <v>0</v>
      </c>
      <c r="R418" s="36">
        <f t="shared" si="5"/>
        <v>1</v>
      </c>
      <c r="S418" s="37"/>
      <c r="T418" s="5"/>
      <c r="U418" s="132">
        <f>2563.15+5.69+2706.35+66.45+6.5+334.79</f>
        <v>5682.93</v>
      </c>
      <c r="V418" s="133">
        <v>8861.38</v>
      </c>
      <c r="W418" s="55">
        <f t="shared" si="72"/>
        <v>14544.31</v>
      </c>
      <c r="X418" s="127">
        <v>0.0889</v>
      </c>
      <c r="Y418" s="55">
        <f t="shared" si="73"/>
        <v>2338.834784</v>
      </c>
      <c r="Z418" s="55">
        <f t="shared" si="74"/>
        <v>2338.834784</v>
      </c>
      <c r="AA418" s="57">
        <f t="shared" si="75"/>
        <v>8021.764784</v>
      </c>
      <c r="AB418" s="5"/>
      <c r="AC418" s="42">
        <f t="shared" si="6"/>
        <v>1</v>
      </c>
      <c r="AD418" s="3">
        <f t="shared" si="7"/>
        <v>1</v>
      </c>
      <c r="AE418" s="3">
        <f t="shared" si="8"/>
        <v>1</v>
      </c>
      <c r="AF418" s="43">
        <f t="shared" si="9"/>
        <v>16386.97</v>
      </c>
      <c r="AG418" s="44">
        <f t="shared" si="10"/>
        <v>53348</v>
      </c>
      <c r="AH418" s="45">
        <f t="shared" si="11"/>
        <v>0.6666666667</v>
      </c>
      <c r="AI418" s="46">
        <f t="shared" si="12"/>
        <v>0.01154467011</v>
      </c>
      <c r="AJ418" s="47">
        <f t="shared" si="13"/>
        <v>0</v>
      </c>
      <c r="AK418" s="5"/>
      <c r="AL418" s="42">
        <f t="shared" si="14"/>
        <v>0</v>
      </c>
      <c r="AM418" s="3">
        <f t="shared" si="15"/>
        <v>1</v>
      </c>
      <c r="AN418" s="3">
        <f t="shared" si="16"/>
        <v>0</v>
      </c>
      <c r="AO418" s="3">
        <f t="shared" si="17"/>
        <v>0</v>
      </c>
      <c r="AP418" s="44">
        <f t="shared" si="18"/>
        <v>0</v>
      </c>
      <c r="AQ418" s="48">
        <f t="shared" si="19"/>
        <v>0</v>
      </c>
      <c r="AR418" s="122">
        <f t="shared" si="20"/>
        <v>0</v>
      </c>
      <c r="AS418" s="47">
        <f t="shared" si="21"/>
        <v>0</v>
      </c>
      <c r="AT418" s="5"/>
      <c r="AU418" s="49">
        <f t="shared" si="27"/>
        <v>53348</v>
      </c>
      <c r="AV418" s="50">
        <f t="shared" si="23"/>
        <v>1</v>
      </c>
      <c r="AW418" s="51">
        <f t="shared" si="24"/>
        <v>0.005175992938</v>
      </c>
      <c r="AX418" s="52">
        <f t="shared" si="25"/>
        <v>0</v>
      </c>
      <c r="AY418" s="5"/>
      <c r="AZ418" s="53">
        <f t="shared" si="26"/>
        <v>1</v>
      </c>
      <c r="BA418" s="5"/>
      <c r="BB418" s="5"/>
      <c r="BC418" s="5"/>
    </row>
    <row r="419" ht="12.75" customHeight="1">
      <c r="A419" s="25"/>
      <c r="B419" s="27" t="s">
        <v>729</v>
      </c>
      <c r="C419" s="135">
        <v>27430.48</v>
      </c>
      <c r="D419" s="148">
        <v>21139.42</v>
      </c>
      <c r="E419" s="142" t="s">
        <v>49</v>
      </c>
      <c r="F419" s="149">
        <v>44834.0</v>
      </c>
      <c r="G419" s="117" t="s">
        <v>40</v>
      </c>
      <c r="H419" s="123">
        <v>44842.0</v>
      </c>
      <c r="I419" s="32">
        <f t="shared" si="1"/>
        <v>0.2666666667</v>
      </c>
      <c r="J419" s="124" t="s">
        <v>129</v>
      </c>
      <c r="K419" s="125">
        <v>28000.0</v>
      </c>
      <c r="L419" s="150">
        <v>1886.0</v>
      </c>
      <c r="M419" s="151">
        <v>2874.76</v>
      </c>
      <c r="N419" s="151">
        <v>508.36</v>
      </c>
      <c r="O419" s="35">
        <f t="shared" si="67"/>
        <v>0</v>
      </c>
      <c r="P419" s="35">
        <f t="shared" si="68"/>
        <v>0</v>
      </c>
      <c r="Q419" s="36">
        <f t="shared" si="4"/>
        <v>0</v>
      </c>
      <c r="R419" s="36">
        <f t="shared" si="5"/>
        <v>1</v>
      </c>
      <c r="S419" s="37"/>
      <c r="T419" s="5"/>
      <c r="U419" s="132">
        <f>372.29+509.12+48.4</f>
        <v>929.81</v>
      </c>
      <c r="V419" s="133">
        <v>1703.89</v>
      </c>
      <c r="W419" s="55">
        <f t="shared" si="72"/>
        <v>2633.7</v>
      </c>
      <c r="X419" s="127">
        <v>0.0917</v>
      </c>
      <c r="Y419" s="55">
        <f t="shared" si="73"/>
        <v>955.9651138</v>
      </c>
      <c r="Z419" s="55">
        <f t="shared" si="74"/>
        <v>955.9651138</v>
      </c>
      <c r="AA419" s="57">
        <f t="shared" si="75"/>
        <v>1885.775114</v>
      </c>
      <c r="AB419" s="5"/>
      <c r="AC419" s="42">
        <f t="shared" si="6"/>
        <v>1</v>
      </c>
      <c r="AD419" s="3">
        <f t="shared" si="7"/>
        <v>1</v>
      </c>
      <c r="AE419" s="3">
        <f t="shared" si="8"/>
        <v>1</v>
      </c>
      <c r="AF419" s="43">
        <f t="shared" si="9"/>
        <v>3383.12</v>
      </c>
      <c r="AG419" s="44">
        <f t="shared" si="10"/>
        <v>21139.42</v>
      </c>
      <c r="AH419" s="45">
        <f t="shared" si="11"/>
        <v>0.2666666667</v>
      </c>
      <c r="AI419" s="46">
        <f t="shared" si="12"/>
        <v>0.004574635041</v>
      </c>
      <c r="AJ419" s="47">
        <f t="shared" si="13"/>
        <v>0</v>
      </c>
      <c r="AK419" s="5"/>
      <c r="AL419" s="42">
        <f t="shared" si="14"/>
        <v>0</v>
      </c>
      <c r="AM419" s="3">
        <f t="shared" si="15"/>
        <v>1</v>
      </c>
      <c r="AN419" s="3">
        <f t="shared" si="16"/>
        <v>0</v>
      </c>
      <c r="AO419" s="3">
        <f t="shared" si="17"/>
        <v>0</v>
      </c>
      <c r="AP419" s="44">
        <f t="shared" si="18"/>
        <v>0</v>
      </c>
      <c r="AQ419" s="48">
        <f t="shared" si="19"/>
        <v>0</v>
      </c>
      <c r="AR419" s="122">
        <f t="shared" si="20"/>
        <v>0</v>
      </c>
      <c r="AS419" s="47">
        <f t="shared" si="21"/>
        <v>0</v>
      </c>
      <c r="AT419" s="5"/>
      <c r="AU419" s="49">
        <f t="shared" si="27"/>
        <v>21139.42</v>
      </c>
      <c r="AV419" s="50">
        <f t="shared" si="23"/>
        <v>1</v>
      </c>
      <c r="AW419" s="51">
        <f t="shared" si="24"/>
        <v>0.002051013883</v>
      </c>
      <c r="AX419" s="52">
        <f t="shared" si="25"/>
        <v>0</v>
      </c>
      <c r="AY419" s="5"/>
      <c r="AZ419" s="53">
        <f t="shared" si="26"/>
        <v>1</v>
      </c>
      <c r="BA419" s="5"/>
      <c r="BB419" s="5"/>
      <c r="BC419" s="5"/>
    </row>
    <row r="420" ht="12.75" customHeight="1">
      <c r="A420" s="25"/>
      <c r="B420" s="27" t="s">
        <v>730</v>
      </c>
      <c r="C420" s="135">
        <v>22022.04</v>
      </c>
      <c r="D420" s="148">
        <v>17433.34</v>
      </c>
      <c r="E420" s="142" t="s">
        <v>49</v>
      </c>
      <c r="F420" s="123">
        <v>44846.0</v>
      </c>
      <c r="G420" s="117" t="s">
        <v>40</v>
      </c>
      <c r="H420" s="123">
        <v>44847.0</v>
      </c>
      <c r="I420" s="32">
        <f t="shared" si="1"/>
        <v>0.03333333333</v>
      </c>
      <c r="J420" s="124" t="s">
        <v>129</v>
      </c>
      <c r="K420" s="125">
        <v>20000.0</v>
      </c>
      <c r="L420" s="150">
        <v>817.0</v>
      </c>
      <c r="M420" s="151">
        <v>1800.58</v>
      </c>
      <c r="N420" s="151">
        <v>900.0</v>
      </c>
      <c r="O420" s="35">
        <f t="shared" si="67"/>
        <v>0</v>
      </c>
      <c r="P420" s="35">
        <f t="shared" si="68"/>
        <v>950.92</v>
      </c>
      <c r="Q420" s="36">
        <f t="shared" si="4"/>
        <v>0.05454605945</v>
      </c>
      <c r="R420" s="36">
        <f t="shared" si="5"/>
        <v>0.9454539406</v>
      </c>
      <c r="S420" s="37"/>
      <c r="T420" s="5"/>
      <c r="U420" s="132">
        <f>8.07+23.18+5.27+1.05</f>
        <v>37.57</v>
      </c>
      <c r="V420" s="133">
        <v>4431.96</v>
      </c>
      <c r="W420" s="55">
        <f t="shared" si="72"/>
        <v>4469.53</v>
      </c>
      <c r="X420" s="127">
        <v>0.0907</v>
      </c>
      <c r="Y420" s="55">
        <f t="shared" si="73"/>
        <v>779.771805</v>
      </c>
      <c r="Z420" s="55">
        <f t="shared" si="74"/>
        <v>779.771805</v>
      </c>
      <c r="AA420" s="57">
        <f t="shared" si="75"/>
        <v>817.341805</v>
      </c>
      <c r="AB420" s="5"/>
      <c r="AC420" s="42">
        <f t="shared" si="6"/>
        <v>1</v>
      </c>
      <c r="AD420" s="3">
        <f t="shared" si="7"/>
        <v>1</v>
      </c>
      <c r="AE420" s="3">
        <f t="shared" si="8"/>
        <v>1</v>
      </c>
      <c r="AF420" s="43">
        <f t="shared" si="9"/>
        <v>2700.58</v>
      </c>
      <c r="AG420" s="44">
        <f t="shared" si="10"/>
        <v>17433.34</v>
      </c>
      <c r="AH420" s="45">
        <f t="shared" si="11"/>
        <v>0.03333333333</v>
      </c>
      <c r="AI420" s="46">
        <f t="shared" si="12"/>
        <v>0.003772628012</v>
      </c>
      <c r="AJ420" s="47">
        <f t="shared" si="13"/>
        <v>0.0002057819918</v>
      </c>
      <c r="AK420" s="5"/>
      <c r="AL420" s="42">
        <f t="shared" si="14"/>
        <v>0</v>
      </c>
      <c r="AM420" s="3">
        <f t="shared" si="15"/>
        <v>1</v>
      </c>
      <c r="AN420" s="3">
        <f t="shared" si="16"/>
        <v>0</v>
      </c>
      <c r="AO420" s="3">
        <f t="shared" si="17"/>
        <v>0</v>
      </c>
      <c r="AP420" s="44">
        <f t="shared" si="18"/>
        <v>0</v>
      </c>
      <c r="AQ420" s="48">
        <f t="shared" si="19"/>
        <v>0</v>
      </c>
      <c r="AR420" s="122">
        <f t="shared" si="20"/>
        <v>0</v>
      </c>
      <c r="AS420" s="47">
        <f t="shared" si="21"/>
        <v>0</v>
      </c>
      <c r="AT420" s="5"/>
      <c r="AU420" s="49">
        <f t="shared" si="27"/>
        <v>17433.34</v>
      </c>
      <c r="AV420" s="50">
        <f t="shared" si="23"/>
        <v>1</v>
      </c>
      <c r="AW420" s="51">
        <f t="shared" si="24"/>
        <v>0.001691438193</v>
      </c>
      <c r="AX420" s="52">
        <f t="shared" si="25"/>
        <v>0.00009226128824</v>
      </c>
      <c r="AY420" s="5"/>
      <c r="AZ420" s="53">
        <f t="shared" si="26"/>
        <v>1</v>
      </c>
      <c r="BA420" s="5"/>
      <c r="BB420" s="5"/>
      <c r="BC420" s="5"/>
    </row>
    <row r="421" ht="12.75" customHeight="1">
      <c r="A421" s="25"/>
      <c r="B421" s="27" t="s">
        <v>731</v>
      </c>
      <c r="C421" s="135">
        <v>87083.34</v>
      </c>
      <c r="D421" s="148">
        <v>76592.08</v>
      </c>
      <c r="E421" s="142" t="s">
        <v>49</v>
      </c>
      <c r="F421" s="123">
        <v>44835.0</v>
      </c>
      <c r="G421" s="117" t="s">
        <v>40</v>
      </c>
      <c r="H421" s="123">
        <v>45170.0</v>
      </c>
      <c r="I421" s="32">
        <f t="shared" si="1"/>
        <v>11.16666667</v>
      </c>
      <c r="J421" s="124" t="s">
        <v>129</v>
      </c>
      <c r="K421" s="125">
        <v>120000.0</v>
      </c>
      <c r="L421" s="153">
        <v>6856.08782750685</v>
      </c>
      <c r="M421" s="151">
        <v>6390.35</v>
      </c>
      <c r="N421" s="151">
        <v>0.0</v>
      </c>
      <c r="O421" s="35">
        <f t="shared" si="67"/>
        <v>0</v>
      </c>
      <c r="P421" s="35">
        <f t="shared" si="68"/>
        <v>0</v>
      </c>
      <c r="Q421" s="36">
        <f t="shared" si="4"/>
        <v>0</v>
      </c>
      <c r="R421" s="36">
        <f t="shared" si="5"/>
        <v>1</v>
      </c>
      <c r="S421" s="37"/>
      <c r="T421" s="5"/>
      <c r="U421" s="132">
        <f>1372.96+2128.07+178.48</f>
        <v>3679.51</v>
      </c>
      <c r="V421" s="133">
        <v>8832.06</v>
      </c>
      <c r="W421" s="55">
        <f t="shared" si="72"/>
        <v>12511.57</v>
      </c>
      <c r="X421" s="127">
        <v>0.0841</v>
      </c>
      <c r="Y421" s="55">
        <f t="shared" si="73"/>
        <v>3176.577828</v>
      </c>
      <c r="Z421" s="55">
        <f t="shared" si="74"/>
        <v>3176.577828</v>
      </c>
      <c r="AA421" s="57">
        <f t="shared" si="75"/>
        <v>6856.087828</v>
      </c>
      <c r="AB421" s="5"/>
      <c r="AC421" s="42">
        <f t="shared" si="6"/>
        <v>1</v>
      </c>
      <c r="AD421" s="3">
        <f t="shared" si="7"/>
        <v>1</v>
      </c>
      <c r="AE421" s="3">
        <f t="shared" si="8"/>
        <v>1</v>
      </c>
      <c r="AF421" s="43">
        <f t="shared" si="9"/>
        <v>6390.35</v>
      </c>
      <c r="AG421" s="44">
        <f t="shared" si="10"/>
        <v>76592.08</v>
      </c>
      <c r="AH421" s="45">
        <f t="shared" si="11"/>
        <v>11.16666667</v>
      </c>
      <c r="AI421" s="46">
        <f t="shared" si="12"/>
        <v>0.01657476</v>
      </c>
      <c r="AJ421" s="47">
        <f t="shared" si="13"/>
        <v>0</v>
      </c>
      <c r="AK421" s="5"/>
      <c r="AL421" s="42">
        <f t="shared" si="14"/>
        <v>0</v>
      </c>
      <c r="AM421" s="3">
        <f t="shared" si="15"/>
        <v>1</v>
      </c>
      <c r="AN421" s="3">
        <f t="shared" si="16"/>
        <v>0</v>
      </c>
      <c r="AO421" s="3">
        <f t="shared" si="17"/>
        <v>0</v>
      </c>
      <c r="AP421" s="44">
        <f t="shared" si="18"/>
        <v>0</v>
      </c>
      <c r="AQ421" s="48">
        <f t="shared" si="19"/>
        <v>0</v>
      </c>
      <c r="AR421" s="122">
        <f t="shared" si="20"/>
        <v>0</v>
      </c>
      <c r="AS421" s="47">
        <f t="shared" si="21"/>
        <v>0</v>
      </c>
      <c r="AT421" s="5"/>
      <c r="AU421" s="49">
        <f t="shared" si="27"/>
        <v>76592.08</v>
      </c>
      <c r="AV421" s="50">
        <f t="shared" si="23"/>
        <v>1</v>
      </c>
      <c r="AW421" s="51">
        <f t="shared" si="24"/>
        <v>0.007431207641</v>
      </c>
      <c r="AX421" s="52">
        <f t="shared" si="25"/>
        <v>0</v>
      </c>
      <c r="AY421" s="5"/>
      <c r="AZ421" s="53">
        <f t="shared" si="26"/>
        <v>1</v>
      </c>
      <c r="BA421" s="5"/>
      <c r="BB421" s="5"/>
      <c r="BC421" s="5"/>
    </row>
    <row r="422" ht="12.75" customHeight="1">
      <c r="A422" s="25"/>
      <c r="B422" s="27" t="s">
        <v>189</v>
      </c>
      <c r="C422" s="135">
        <v>15000.0</v>
      </c>
      <c r="D422" s="148">
        <v>13571.01</v>
      </c>
      <c r="E422" s="142" t="s">
        <v>49</v>
      </c>
      <c r="F422" s="123">
        <v>44835.0</v>
      </c>
      <c r="G422" s="117" t="s">
        <v>40</v>
      </c>
      <c r="H422" s="123">
        <v>45015.0</v>
      </c>
      <c r="I422" s="32">
        <f t="shared" si="1"/>
        <v>6</v>
      </c>
      <c r="J422" s="124" t="s">
        <v>129</v>
      </c>
      <c r="K422" s="125">
        <v>30000.0</v>
      </c>
      <c r="L422" s="150">
        <v>1565.78</v>
      </c>
      <c r="M422" s="151">
        <v>13334.83</v>
      </c>
      <c r="N422" s="151">
        <v>759.38</v>
      </c>
      <c r="O422" s="35">
        <f t="shared" si="67"/>
        <v>0</v>
      </c>
      <c r="P422" s="35">
        <f t="shared" si="68"/>
        <v>0</v>
      </c>
      <c r="Q422" s="36">
        <f t="shared" si="4"/>
        <v>0</v>
      </c>
      <c r="R422" s="36">
        <f t="shared" si="5"/>
        <v>1</v>
      </c>
      <c r="S422" s="37"/>
      <c r="T422" s="5"/>
      <c r="U422" s="132"/>
      <c r="V422" s="144"/>
      <c r="W422" s="144"/>
      <c r="X422" s="145"/>
      <c r="Y422" s="144"/>
      <c r="Z422" s="144"/>
      <c r="AA422" s="146"/>
      <c r="AB422" s="5"/>
      <c r="AC422" s="42">
        <f t="shared" si="6"/>
        <v>1</v>
      </c>
      <c r="AD422" s="3">
        <f t="shared" si="7"/>
        <v>1</v>
      </c>
      <c r="AE422" s="3">
        <f t="shared" si="8"/>
        <v>1</v>
      </c>
      <c r="AF422" s="43">
        <f t="shared" si="9"/>
        <v>14094.21</v>
      </c>
      <c r="AG422" s="44">
        <f t="shared" si="10"/>
        <v>13571.01</v>
      </c>
      <c r="AH422" s="45">
        <f t="shared" si="11"/>
        <v>6</v>
      </c>
      <c r="AI422" s="46">
        <f t="shared" si="12"/>
        <v>0.002936808006</v>
      </c>
      <c r="AJ422" s="47">
        <f t="shared" si="13"/>
        <v>0</v>
      </c>
      <c r="AK422" s="5"/>
      <c r="AL422" s="42">
        <f t="shared" si="14"/>
        <v>0</v>
      </c>
      <c r="AM422" s="3">
        <f t="shared" si="15"/>
        <v>1</v>
      </c>
      <c r="AN422" s="3">
        <f t="shared" si="16"/>
        <v>0</v>
      </c>
      <c r="AO422" s="3">
        <f t="shared" si="17"/>
        <v>0</v>
      </c>
      <c r="AP422" s="44">
        <f t="shared" si="18"/>
        <v>0</v>
      </c>
      <c r="AQ422" s="48">
        <f t="shared" si="19"/>
        <v>0</v>
      </c>
      <c r="AR422" s="122">
        <f t="shared" si="20"/>
        <v>0</v>
      </c>
      <c r="AS422" s="47">
        <f t="shared" si="21"/>
        <v>0</v>
      </c>
      <c r="AT422" s="5"/>
      <c r="AU422" s="49">
        <f t="shared" si="27"/>
        <v>13571.01</v>
      </c>
      <c r="AV422" s="50">
        <f t="shared" si="23"/>
        <v>1</v>
      </c>
      <c r="AW422" s="51">
        <f t="shared" si="24"/>
        <v>0.00131670263</v>
      </c>
      <c r="AX422" s="52">
        <f t="shared" si="25"/>
        <v>0</v>
      </c>
      <c r="AY422" s="5"/>
      <c r="AZ422" s="53">
        <f t="shared" si="26"/>
        <v>1</v>
      </c>
      <c r="BA422" s="5"/>
      <c r="BB422" s="5"/>
      <c r="BC422" s="5"/>
    </row>
    <row r="423" ht="12.75" customHeight="1">
      <c r="A423" s="25"/>
      <c r="B423" s="27" t="s">
        <v>732</v>
      </c>
      <c r="C423" s="135">
        <v>22663.5</v>
      </c>
      <c r="D423" s="148">
        <v>16432.0</v>
      </c>
      <c r="E423" s="142" t="s">
        <v>49</v>
      </c>
      <c r="F423" s="123">
        <v>44865.0</v>
      </c>
      <c r="G423" s="117" t="s">
        <v>40</v>
      </c>
      <c r="H423" s="123">
        <v>44953.0</v>
      </c>
      <c r="I423" s="32">
        <f t="shared" si="1"/>
        <v>2.933333333</v>
      </c>
      <c r="J423" s="124" t="s">
        <v>733</v>
      </c>
      <c r="K423" s="125">
        <v>19000.0</v>
      </c>
      <c r="L423" s="150">
        <v>775.0</v>
      </c>
      <c r="M423" s="151">
        <v>1198.68</v>
      </c>
      <c r="N423" s="151">
        <v>300.0</v>
      </c>
      <c r="O423" s="35">
        <f t="shared" si="67"/>
        <v>0</v>
      </c>
      <c r="P423" s="35">
        <f t="shared" si="68"/>
        <v>0</v>
      </c>
      <c r="Q423" s="36">
        <f t="shared" si="4"/>
        <v>0</v>
      </c>
      <c r="R423" s="36">
        <f t="shared" si="5"/>
        <v>1</v>
      </c>
      <c r="S423" s="37"/>
      <c r="T423" s="5"/>
      <c r="U423" s="132">
        <f>8.31+16.98+4.87+1.08</f>
        <v>31.24</v>
      </c>
      <c r="V423" s="133">
        <v>4808.55</v>
      </c>
      <c r="W423" s="55">
        <f t="shared" ref="W423:W426" si="76">U423+V423</f>
        <v>4839.79</v>
      </c>
      <c r="X423" s="127">
        <v>0.0918</v>
      </c>
      <c r="Y423" s="55">
        <f t="shared" ref="Y423:Y426" si="77">((X423*D423)/365)*180</f>
        <v>743.8968986</v>
      </c>
      <c r="Z423" s="55">
        <f t="shared" ref="Z423:Z426" si="78">IF(Y423&lt;W423,Y423,W423)</f>
        <v>743.8968986</v>
      </c>
      <c r="AA423" s="57">
        <f t="shared" ref="AA423:AA431" si="79">U423+Z423</f>
        <v>775.1368986</v>
      </c>
      <c r="AB423" s="5"/>
      <c r="AC423" s="42">
        <f t="shared" si="6"/>
        <v>1</v>
      </c>
      <c r="AD423" s="3">
        <f t="shared" si="7"/>
        <v>1</v>
      </c>
      <c r="AE423" s="3">
        <f t="shared" si="8"/>
        <v>1</v>
      </c>
      <c r="AF423" s="43">
        <f t="shared" si="9"/>
        <v>1498.68</v>
      </c>
      <c r="AG423" s="44">
        <f t="shared" si="10"/>
        <v>16432</v>
      </c>
      <c r="AH423" s="45">
        <f t="shared" si="11"/>
        <v>2.933333333</v>
      </c>
      <c r="AI423" s="46">
        <f t="shared" si="12"/>
        <v>0.003555934978</v>
      </c>
      <c r="AJ423" s="47">
        <f t="shared" si="13"/>
        <v>0</v>
      </c>
      <c r="AK423" s="5"/>
      <c r="AL423" s="42">
        <f t="shared" si="14"/>
        <v>0</v>
      </c>
      <c r="AM423" s="3">
        <f t="shared" si="15"/>
        <v>1</v>
      </c>
      <c r="AN423" s="3">
        <f t="shared" si="16"/>
        <v>0</v>
      </c>
      <c r="AO423" s="3">
        <f t="shared" si="17"/>
        <v>0</v>
      </c>
      <c r="AP423" s="44">
        <f t="shared" si="18"/>
        <v>0</v>
      </c>
      <c r="AQ423" s="48">
        <f t="shared" si="19"/>
        <v>0</v>
      </c>
      <c r="AR423" s="122">
        <f t="shared" si="20"/>
        <v>0</v>
      </c>
      <c r="AS423" s="47">
        <f t="shared" si="21"/>
        <v>0</v>
      </c>
      <c r="AT423" s="5"/>
      <c r="AU423" s="49">
        <f t="shared" si="27"/>
        <v>16432</v>
      </c>
      <c r="AV423" s="50">
        <f t="shared" si="23"/>
        <v>1</v>
      </c>
      <c r="AW423" s="51">
        <f t="shared" si="24"/>
        <v>0.001594284996</v>
      </c>
      <c r="AX423" s="52">
        <f t="shared" si="25"/>
        <v>0</v>
      </c>
      <c r="AY423" s="5"/>
      <c r="AZ423" s="53">
        <f t="shared" si="26"/>
        <v>1</v>
      </c>
      <c r="BA423" s="5"/>
      <c r="BB423" s="5"/>
      <c r="BC423" s="5"/>
    </row>
    <row r="424" ht="12.75" customHeight="1">
      <c r="A424" s="25"/>
      <c r="B424" s="27" t="s">
        <v>314</v>
      </c>
      <c r="C424" s="135">
        <v>17200.0</v>
      </c>
      <c r="D424" s="148">
        <v>11408.7</v>
      </c>
      <c r="E424" s="142" t="s">
        <v>49</v>
      </c>
      <c r="F424" s="123">
        <v>44866.0</v>
      </c>
      <c r="G424" s="117" t="s">
        <v>40</v>
      </c>
      <c r="H424" s="123">
        <v>44926.0</v>
      </c>
      <c r="I424" s="32">
        <f t="shared" si="1"/>
        <v>2</v>
      </c>
      <c r="J424" s="124" t="s">
        <v>129</v>
      </c>
      <c r="K424" s="125">
        <v>19000.0</v>
      </c>
      <c r="L424" s="150">
        <v>1812.0</v>
      </c>
      <c r="M424" s="151">
        <f>1484.51+8.86+100+309.89</f>
        <v>1903.26</v>
      </c>
      <c r="N424" s="151">
        <v>0.0</v>
      </c>
      <c r="O424" s="35">
        <f t="shared" si="67"/>
        <v>0</v>
      </c>
      <c r="P424" s="35">
        <f t="shared" si="68"/>
        <v>0</v>
      </c>
      <c r="Q424" s="36">
        <f t="shared" si="4"/>
        <v>0</v>
      </c>
      <c r="R424" s="36">
        <f t="shared" si="5"/>
        <v>1</v>
      </c>
      <c r="S424" s="37"/>
      <c r="T424" s="5"/>
      <c r="U424" s="132">
        <f>895.98+7.9+265.91+78+127.88</f>
        <v>1375.67</v>
      </c>
      <c r="V424" s="133">
        <v>455.41</v>
      </c>
      <c r="W424" s="55">
        <f t="shared" si="76"/>
        <v>1831.08</v>
      </c>
      <c r="X424" s="127">
        <v>0.0775</v>
      </c>
      <c r="Y424" s="55">
        <f t="shared" si="77"/>
        <v>436.031137</v>
      </c>
      <c r="Z424" s="55">
        <f t="shared" si="78"/>
        <v>436.031137</v>
      </c>
      <c r="AA424" s="57">
        <f t="shared" si="79"/>
        <v>1811.701137</v>
      </c>
      <c r="AB424" s="5"/>
      <c r="AC424" s="42">
        <f t="shared" si="6"/>
        <v>1</v>
      </c>
      <c r="AD424" s="3">
        <f t="shared" si="7"/>
        <v>1</v>
      </c>
      <c r="AE424" s="3">
        <f t="shared" si="8"/>
        <v>1</v>
      </c>
      <c r="AF424" s="43">
        <f t="shared" si="9"/>
        <v>1903.26</v>
      </c>
      <c r="AG424" s="44">
        <f t="shared" si="10"/>
        <v>11408.7</v>
      </c>
      <c r="AH424" s="45">
        <f t="shared" si="11"/>
        <v>2</v>
      </c>
      <c r="AI424" s="46">
        <f t="shared" si="12"/>
        <v>0.002468877519</v>
      </c>
      <c r="AJ424" s="47">
        <f t="shared" si="13"/>
        <v>0</v>
      </c>
      <c r="AK424" s="5"/>
      <c r="AL424" s="42">
        <f t="shared" si="14"/>
        <v>0</v>
      </c>
      <c r="AM424" s="3">
        <f t="shared" si="15"/>
        <v>1</v>
      </c>
      <c r="AN424" s="3">
        <f t="shared" si="16"/>
        <v>0</v>
      </c>
      <c r="AO424" s="3">
        <f t="shared" si="17"/>
        <v>0</v>
      </c>
      <c r="AP424" s="44">
        <f t="shared" si="18"/>
        <v>0</v>
      </c>
      <c r="AQ424" s="48">
        <f t="shared" si="19"/>
        <v>0</v>
      </c>
      <c r="AR424" s="122">
        <f t="shared" si="20"/>
        <v>0</v>
      </c>
      <c r="AS424" s="47">
        <f t="shared" si="21"/>
        <v>0</v>
      </c>
      <c r="AT424" s="5"/>
      <c r="AU424" s="49">
        <f t="shared" si="27"/>
        <v>11408.7</v>
      </c>
      <c r="AV424" s="50">
        <f t="shared" si="23"/>
        <v>1</v>
      </c>
      <c r="AW424" s="51">
        <f t="shared" si="24"/>
        <v>0.001106908425</v>
      </c>
      <c r="AX424" s="52">
        <f t="shared" si="25"/>
        <v>0</v>
      </c>
      <c r="AY424" s="5"/>
      <c r="AZ424" s="53">
        <f t="shared" si="26"/>
        <v>1</v>
      </c>
      <c r="BA424" s="5"/>
      <c r="BB424" s="5"/>
      <c r="BC424" s="5"/>
    </row>
    <row r="425" ht="12.75" customHeight="1">
      <c r="A425" s="25"/>
      <c r="B425" s="27" t="s">
        <v>734</v>
      </c>
      <c r="C425" s="135">
        <v>38000.0</v>
      </c>
      <c r="D425" s="148">
        <v>33035.46</v>
      </c>
      <c r="E425" s="142" t="s">
        <v>49</v>
      </c>
      <c r="F425" s="123">
        <v>44888.0</v>
      </c>
      <c r="G425" s="117" t="s">
        <v>40</v>
      </c>
      <c r="H425" s="123">
        <v>44891.0</v>
      </c>
      <c r="I425" s="32">
        <f t="shared" si="1"/>
        <v>0.1</v>
      </c>
      <c r="J425" s="124" t="s">
        <v>129</v>
      </c>
      <c r="K425" s="125">
        <v>43000.0</v>
      </c>
      <c r="L425" s="154">
        <v>2642.0509391780824</v>
      </c>
      <c r="M425" s="151">
        <v>4523.68</v>
      </c>
      <c r="N425" s="151">
        <v>896.38</v>
      </c>
      <c r="O425" s="35">
        <f t="shared" si="67"/>
        <v>0</v>
      </c>
      <c r="P425" s="35">
        <f t="shared" si="68"/>
        <v>0</v>
      </c>
      <c r="Q425" s="36">
        <f t="shared" si="4"/>
        <v>0</v>
      </c>
      <c r="R425" s="36">
        <f t="shared" si="5"/>
        <v>1</v>
      </c>
      <c r="S425" s="37"/>
      <c r="T425" s="5"/>
      <c r="U425" s="132">
        <f>214.57+922.94+238.5+27.89</f>
        <v>1403.9</v>
      </c>
      <c r="V425" s="133">
        <v>7639.0</v>
      </c>
      <c r="W425" s="55">
        <f t="shared" si="76"/>
        <v>9042.9</v>
      </c>
      <c r="X425" s="127">
        <v>0.076</v>
      </c>
      <c r="Y425" s="55">
        <f t="shared" si="77"/>
        <v>1238.150939</v>
      </c>
      <c r="Z425" s="55">
        <f t="shared" si="78"/>
        <v>1238.150939</v>
      </c>
      <c r="AA425" s="57">
        <f t="shared" si="79"/>
        <v>2642.050939</v>
      </c>
      <c r="AB425" s="5"/>
      <c r="AC425" s="42">
        <f t="shared" si="6"/>
        <v>1</v>
      </c>
      <c r="AD425" s="3">
        <f t="shared" si="7"/>
        <v>1</v>
      </c>
      <c r="AE425" s="3">
        <f t="shared" si="8"/>
        <v>1</v>
      </c>
      <c r="AF425" s="43">
        <f t="shared" si="9"/>
        <v>5420.06</v>
      </c>
      <c r="AG425" s="44">
        <f t="shared" si="10"/>
        <v>33035.46</v>
      </c>
      <c r="AH425" s="45">
        <f t="shared" si="11"/>
        <v>0.1</v>
      </c>
      <c r="AI425" s="46">
        <f t="shared" si="12"/>
        <v>0.007148974424</v>
      </c>
      <c r="AJ425" s="47">
        <f t="shared" si="13"/>
        <v>0</v>
      </c>
      <c r="AK425" s="5"/>
      <c r="AL425" s="42">
        <f t="shared" si="14"/>
        <v>0</v>
      </c>
      <c r="AM425" s="3">
        <f t="shared" si="15"/>
        <v>1</v>
      </c>
      <c r="AN425" s="3">
        <f t="shared" si="16"/>
        <v>0</v>
      </c>
      <c r="AO425" s="3">
        <f t="shared" si="17"/>
        <v>0</v>
      </c>
      <c r="AP425" s="44">
        <f t="shared" si="18"/>
        <v>0</v>
      </c>
      <c r="AQ425" s="48">
        <f t="shared" si="19"/>
        <v>0</v>
      </c>
      <c r="AR425" s="122">
        <f t="shared" si="20"/>
        <v>0</v>
      </c>
      <c r="AS425" s="47">
        <f t="shared" si="21"/>
        <v>0</v>
      </c>
      <c r="AT425" s="5"/>
      <c r="AU425" s="49">
        <f t="shared" si="27"/>
        <v>33035.46</v>
      </c>
      <c r="AV425" s="50">
        <f t="shared" si="23"/>
        <v>1</v>
      </c>
      <c r="AW425" s="51">
        <f t="shared" si="24"/>
        <v>0.003205205587</v>
      </c>
      <c r="AX425" s="52">
        <f t="shared" si="25"/>
        <v>0</v>
      </c>
      <c r="AY425" s="5"/>
      <c r="AZ425" s="53">
        <f t="shared" si="26"/>
        <v>1</v>
      </c>
      <c r="BA425" s="5"/>
      <c r="BB425" s="5"/>
      <c r="BC425" s="5"/>
    </row>
    <row r="426" ht="12.75" customHeight="1">
      <c r="A426" s="25"/>
      <c r="B426" s="27" t="s">
        <v>735</v>
      </c>
      <c r="C426" s="135">
        <v>13000.0</v>
      </c>
      <c r="D426" s="148">
        <v>10253.36</v>
      </c>
      <c r="E426" s="142" t="s">
        <v>49</v>
      </c>
      <c r="F426" s="123">
        <v>44866.0</v>
      </c>
      <c r="G426" s="117" t="s">
        <v>40</v>
      </c>
      <c r="H426" s="123">
        <v>44917.0</v>
      </c>
      <c r="I426" s="32">
        <f t="shared" si="1"/>
        <v>1.7</v>
      </c>
      <c r="J426" s="124" t="s">
        <v>129</v>
      </c>
      <c r="K426" s="125">
        <v>15000.0</v>
      </c>
      <c r="L426" s="150">
        <v>1597.0</v>
      </c>
      <c r="M426" s="151">
        <v>1896.0</v>
      </c>
      <c r="N426" s="151">
        <v>0.0</v>
      </c>
      <c r="O426" s="35">
        <f t="shared" si="67"/>
        <v>0</v>
      </c>
      <c r="P426" s="35">
        <f t="shared" si="68"/>
        <v>0</v>
      </c>
      <c r="Q426" s="36">
        <f t="shared" si="4"/>
        <v>0</v>
      </c>
      <c r="R426" s="36">
        <f t="shared" si="5"/>
        <v>1</v>
      </c>
      <c r="S426" s="37"/>
      <c r="T426" s="5"/>
      <c r="U426" s="155">
        <v>1596.59</v>
      </c>
      <c r="V426" s="133">
        <v>1888.42</v>
      </c>
      <c r="W426" s="55">
        <f t="shared" si="76"/>
        <v>3485.01</v>
      </c>
      <c r="X426" s="156">
        <v>0.0</v>
      </c>
      <c r="Y426" s="55">
        <f t="shared" si="77"/>
        <v>0</v>
      </c>
      <c r="Z426" s="55">
        <f t="shared" si="78"/>
        <v>0</v>
      </c>
      <c r="AA426" s="57">
        <f t="shared" si="79"/>
        <v>1596.59</v>
      </c>
      <c r="AB426" s="5"/>
      <c r="AC426" s="42">
        <f t="shared" si="6"/>
        <v>1</v>
      </c>
      <c r="AD426" s="3">
        <f t="shared" si="7"/>
        <v>1</v>
      </c>
      <c r="AE426" s="3">
        <f t="shared" si="8"/>
        <v>1</v>
      </c>
      <c r="AF426" s="43">
        <f t="shared" si="9"/>
        <v>1896</v>
      </c>
      <c r="AG426" s="44">
        <f t="shared" si="10"/>
        <v>10253.36</v>
      </c>
      <c r="AH426" s="45">
        <f t="shared" si="11"/>
        <v>1.7</v>
      </c>
      <c r="AI426" s="46">
        <f t="shared" si="12"/>
        <v>0.002218858415</v>
      </c>
      <c r="AJ426" s="47">
        <f t="shared" si="13"/>
        <v>0</v>
      </c>
      <c r="AK426" s="5"/>
      <c r="AL426" s="42">
        <f t="shared" si="14"/>
        <v>0</v>
      </c>
      <c r="AM426" s="3">
        <f t="shared" si="15"/>
        <v>1</v>
      </c>
      <c r="AN426" s="3">
        <f t="shared" si="16"/>
        <v>0</v>
      </c>
      <c r="AO426" s="3">
        <f t="shared" si="17"/>
        <v>0</v>
      </c>
      <c r="AP426" s="44">
        <f t="shared" si="18"/>
        <v>0</v>
      </c>
      <c r="AQ426" s="48">
        <f t="shared" si="19"/>
        <v>0</v>
      </c>
      <c r="AR426" s="122">
        <f t="shared" si="20"/>
        <v>0</v>
      </c>
      <c r="AS426" s="47">
        <f t="shared" si="21"/>
        <v>0</v>
      </c>
      <c r="AT426" s="5"/>
      <c r="AU426" s="49">
        <f t="shared" si="27"/>
        <v>10253.36</v>
      </c>
      <c r="AV426" s="50">
        <f t="shared" si="23"/>
        <v>1</v>
      </c>
      <c r="AW426" s="51">
        <f t="shared" si="24"/>
        <v>0.0009948136566</v>
      </c>
      <c r="AX426" s="52">
        <f t="shared" si="25"/>
        <v>0</v>
      </c>
      <c r="AY426" s="5"/>
      <c r="AZ426" s="53">
        <f t="shared" si="26"/>
        <v>1</v>
      </c>
      <c r="BA426" s="5"/>
      <c r="BB426" s="5"/>
      <c r="BC426" s="5"/>
    </row>
    <row r="427" ht="12.75" customHeight="1">
      <c r="A427" s="25"/>
      <c r="B427" s="27" t="s">
        <v>736</v>
      </c>
      <c r="C427" s="135">
        <v>63300.0</v>
      </c>
      <c r="D427" s="148">
        <v>54610.25</v>
      </c>
      <c r="E427" s="142" t="s">
        <v>49</v>
      </c>
      <c r="F427" s="123">
        <v>44957.0</v>
      </c>
      <c r="G427" s="117" t="s">
        <v>40</v>
      </c>
      <c r="H427" s="123">
        <v>45030.0</v>
      </c>
      <c r="I427" s="32">
        <f t="shared" si="1"/>
        <v>2.433333333</v>
      </c>
      <c r="J427" s="124" t="s">
        <v>129</v>
      </c>
      <c r="K427" s="125">
        <v>90000.0</v>
      </c>
      <c r="L427" s="150">
        <v>9218.16</v>
      </c>
      <c r="M427" s="151">
        <v>9991.7</v>
      </c>
      <c r="N427" s="151">
        <v>1019.08</v>
      </c>
      <c r="O427" s="35">
        <f t="shared" si="67"/>
        <v>0</v>
      </c>
      <c r="P427" s="35">
        <f t="shared" si="68"/>
        <v>0</v>
      </c>
      <c r="Q427" s="36">
        <f t="shared" si="4"/>
        <v>0</v>
      </c>
      <c r="R427" s="36">
        <f t="shared" si="5"/>
        <v>1</v>
      </c>
      <c r="S427" s="37"/>
      <c r="T427" s="5"/>
      <c r="U427" s="132"/>
      <c r="V427" s="144"/>
      <c r="W427" s="144"/>
      <c r="X427" s="145"/>
      <c r="Y427" s="144"/>
      <c r="Z427" s="144"/>
      <c r="AA427" s="146">
        <f t="shared" si="79"/>
        <v>0</v>
      </c>
      <c r="AB427" s="5"/>
      <c r="AC427" s="42">
        <f t="shared" si="6"/>
        <v>1</v>
      </c>
      <c r="AD427" s="3">
        <f t="shared" si="7"/>
        <v>1</v>
      </c>
      <c r="AE427" s="3">
        <f t="shared" si="8"/>
        <v>1</v>
      </c>
      <c r="AF427" s="43">
        <f t="shared" si="9"/>
        <v>11010.78</v>
      </c>
      <c r="AG427" s="44">
        <f t="shared" si="10"/>
        <v>54610.25</v>
      </c>
      <c r="AH427" s="45">
        <f t="shared" si="11"/>
        <v>2.433333333</v>
      </c>
      <c r="AI427" s="46">
        <f t="shared" si="12"/>
        <v>0.01181782486</v>
      </c>
      <c r="AJ427" s="47">
        <f t="shared" si="13"/>
        <v>0</v>
      </c>
      <c r="AK427" s="5"/>
      <c r="AL427" s="42">
        <f t="shared" si="14"/>
        <v>0</v>
      </c>
      <c r="AM427" s="3">
        <f t="shared" si="15"/>
        <v>1</v>
      </c>
      <c r="AN427" s="3">
        <f t="shared" si="16"/>
        <v>0</v>
      </c>
      <c r="AO427" s="3">
        <f t="shared" si="17"/>
        <v>0</v>
      </c>
      <c r="AP427" s="44">
        <f t="shared" si="18"/>
        <v>0</v>
      </c>
      <c r="AQ427" s="48">
        <f t="shared" si="19"/>
        <v>0</v>
      </c>
      <c r="AR427" s="122">
        <f t="shared" si="20"/>
        <v>0</v>
      </c>
      <c r="AS427" s="47">
        <f t="shared" si="21"/>
        <v>0</v>
      </c>
      <c r="AT427" s="5"/>
      <c r="AU427" s="49">
        <f t="shared" si="27"/>
        <v>54610.25</v>
      </c>
      <c r="AV427" s="50">
        <f t="shared" si="23"/>
        <v>1</v>
      </c>
      <c r="AW427" s="51">
        <f t="shared" si="24"/>
        <v>0.005298460455</v>
      </c>
      <c r="AX427" s="52">
        <f t="shared" si="25"/>
        <v>0</v>
      </c>
      <c r="AY427" s="5"/>
      <c r="AZ427" s="53">
        <f t="shared" si="26"/>
        <v>1</v>
      </c>
      <c r="BA427" s="5"/>
      <c r="BB427" s="5"/>
      <c r="BC427" s="5"/>
    </row>
    <row r="428" ht="12.75" customHeight="1">
      <c r="A428" s="25"/>
      <c r="B428" s="27" t="s">
        <v>737</v>
      </c>
      <c r="C428" s="135">
        <v>12000.0</v>
      </c>
      <c r="D428" s="148">
        <v>10195.91</v>
      </c>
      <c r="E428" s="142" t="s">
        <v>49</v>
      </c>
      <c r="F428" s="123">
        <v>44957.0</v>
      </c>
      <c r="G428" s="117" t="s">
        <v>40</v>
      </c>
      <c r="H428" s="123">
        <v>45100.0</v>
      </c>
      <c r="I428" s="32">
        <f t="shared" si="1"/>
        <v>4.766666667</v>
      </c>
      <c r="J428" s="124" t="s">
        <v>738</v>
      </c>
      <c r="K428" s="125">
        <v>16000.0</v>
      </c>
      <c r="L428" s="150">
        <v>1004.39</v>
      </c>
      <c r="M428" s="151">
        <v>1927.59</v>
      </c>
      <c r="N428" s="151">
        <v>1563.33</v>
      </c>
      <c r="O428" s="35">
        <f t="shared" si="67"/>
        <v>0</v>
      </c>
      <c r="P428" s="35">
        <f t="shared" si="68"/>
        <v>0</v>
      </c>
      <c r="Q428" s="36">
        <f t="shared" si="4"/>
        <v>0</v>
      </c>
      <c r="R428" s="36">
        <f t="shared" si="5"/>
        <v>1</v>
      </c>
      <c r="S428" s="37"/>
      <c r="T428" s="5"/>
      <c r="U428" s="132"/>
      <c r="V428" s="144"/>
      <c r="W428" s="144"/>
      <c r="X428" s="145"/>
      <c r="Y428" s="144"/>
      <c r="Z428" s="144"/>
      <c r="AA428" s="146">
        <f t="shared" si="79"/>
        <v>0</v>
      </c>
      <c r="AB428" s="5"/>
      <c r="AC428" s="42">
        <f t="shared" si="6"/>
        <v>1</v>
      </c>
      <c r="AD428" s="3">
        <f t="shared" si="7"/>
        <v>1</v>
      </c>
      <c r="AE428" s="3">
        <f t="shared" si="8"/>
        <v>1</v>
      </c>
      <c r="AF428" s="43">
        <f t="shared" si="9"/>
        <v>3490.92</v>
      </c>
      <c r="AG428" s="44">
        <f t="shared" si="10"/>
        <v>10195.91</v>
      </c>
      <c r="AH428" s="45">
        <f t="shared" si="11"/>
        <v>4.766666667</v>
      </c>
      <c r="AI428" s="46">
        <f t="shared" si="12"/>
        <v>0.002206426059</v>
      </c>
      <c r="AJ428" s="47">
        <f t="shared" si="13"/>
        <v>0</v>
      </c>
      <c r="AK428" s="5"/>
      <c r="AL428" s="42">
        <f t="shared" si="14"/>
        <v>0</v>
      </c>
      <c r="AM428" s="3">
        <f t="shared" si="15"/>
        <v>1</v>
      </c>
      <c r="AN428" s="3">
        <f t="shared" si="16"/>
        <v>0</v>
      </c>
      <c r="AO428" s="3">
        <f t="shared" si="17"/>
        <v>0</v>
      </c>
      <c r="AP428" s="44">
        <f t="shared" si="18"/>
        <v>0</v>
      </c>
      <c r="AQ428" s="48">
        <f t="shared" si="19"/>
        <v>0</v>
      </c>
      <c r="AR428" s="122">
        <f t="shared" si="20"/>
        <v>0</v>
      </c>
      <c r="AS428" s="47">
        <f t="shared" si="21"/>
        <v>0</v>
      </c>
      <c r="AT428" s="5"/>
      <c r="AU428" s="49">
        <f t="shared" si="27"/>
        <v>10195.91</v>
      </c>
      <c r="AV428" s="50">
        <f t="shared" si="23"/>
        <v>1</v>
      </c>
      <c r="AW428" s="51">
        <f t="shared" si="24"/>
        <v>0.0009892396746</v>
      </c>
      <c r="AX428" s="52">
        <f t="shared" si="25"/>
        <v>0</v>
      </c>
      <c r="AY428" s="5"/>
      <c r="AZ428" s="53">
        <f t="shared" si="26"/>
        <v>1</v>
      </c>
      <c r="BA428" s="5"/>
      <c r="BB428" s="5"/>
      <c r="BC428" s="5"/>
    </row>
    <row r="429" ht="12.75" customHeight="1">
      <c r="A429" s="25"/>
      <c r="B429" s="27" t="s">
        <v>739</v>
      </c>
      <c r="C429" s="135">
        <v>18000.0</v>
      </c>
      <c r="D429" s="148">
        <v>11008.0</v>
      </c>
      <c r="E429" s="142" t="s">
        <v>49</v>
      </c>
      <c r="F429" s="123">
        <v>45008.0</v>
      </c>
      <c r="G429" s="117" t="s">
        <v>40</v>
      </c>
      <c r="H429" s="123">
        <v>45030.0</v>
      </c>
      <c r="I429" s="32">
        <f t="shared" si="1"/>
        <v>0.7333333333</v>
      </c>
      <c r="J429" s="124" t="s">
        <v>740</v>
      </c>
      <c r="K429" s="125">
        <v>14000.0</v>
      </c>
      <c r="L429" s="150">
        <v>4126.11</v>
      </c>
      <c r="M429" s="151">
        <v>1906.78</v>
      </c>
      <c r="N429" s="151">
        <v>3020.0</v>
      </c>
      <c r="O429" s="35">
        <f t="shared" si="67"/>
        <v>0</v>
      </c>
      <c r="P429" s="35">
        <f t="shared" si="68"/>
        <v>6060.89</v>
      </c>
      <c r="Q429" s="36">
        <f t="shared" si="4"/>
        <v>0.5505895712</v>
      </c>
      <c r="R429" s="36">
        <f t="shared" si="5"/>
        <v>0.4494104288</v>
      </c>
      <c r="S429" s="37"/>
      <c r="U429" s="132"/>
      <c r="V429" s="144"/>
      <c r="W429" s="144"/>
      <c r="X429" s="145"/>
      <c r="Y429" s="144"/>
      <c r="Z429" s="144"/>
      <c r="AA429" s="146">
        <f t="shared" si="79"/>
        <v>0</v>
      </c>
      <c r="AC429" s="42">
        <f t="shared" si="6"/>
        <v>1</v>
      </c>
      <c r="AD429" s="3">
        <f t="shared" si="7"/>
        <v>1</v>
      </c>
      <c r="AE429" s="3">
        <f t="shared" si="8"/>
        <v>1</v>
      </c>
      <c r="AF429" s="43">
        <f t="shared" si="9"/>
        <v>4926.78</v>
      </c>
      <c r="AG429" s="44">
        <f t="shared" si="10"/>
        <v>11008</v>
      </c>
      <c r="AH429" s="45">
        <f t="shared" si="11"/>
        <v>0.7333333333</v>
      </c>
      <c r="AI429" s="46">
        <f t="shared" si="12"/>
        <v>0.002382164815</v>
      </c>
      <c r="AJ429" s="47">
        <f t="shared" si="13"/>
        <v>0.001311595104</v>
      </c>
      <c r="AK429" s="5"/>
      <c r="AL429" s="42">
        <f t="shared" si="14"/>
        <v>0</v>
      </c>
      <c r="AM429" s="3">
        <f t="shared" si="15"/>
        <v>1</v>
      </c>
      <c r="AN429" s="3">
        <f t="shared" si="16"/>
        <v>0</v>
      </c>
      <c r="AO429" s="3">
        <f t="shared" si="17"/>
        <v>0</v>
      </c>
      <c r="AP429" s="44">
        <f t="shared" si="18"/>
        <v>0</v>
      </c>
      <c r="AQ429" s="48">
        <f t="shared" si="19"/>
        <v>0</v>
      </c>
      <c r="AR429" s="122">
        <f t="shared" si="20"/>
        <v>0</v>
      </c>
      <c r="AS429" s="47">
        <f t="shared" si="21"/>
        <v>0</v>
      </c>
      <c r="AT429" s="5"/>
      <c r="AU429" s="49">
        <f t="shared" si="27"/>
        <v>11008</v>
      </c>
      <c r="AV429" s="50">
        <f t="shared" si="23"/>
        <v>1</v>
      </c>
      <c r="AW429" s="51">
        <f t="shared" si="24"/>
        <v>0.001068031234</v>
      </c>
      <c r="AX429" s="52">
        <f t="shared" si="25"/>
        <v>0.0005880468591</v>
      </c>
      <c r="AY429" s="5"/>
      <c r="AZ429" s="53">
        <f t="shared" si="26"/>
        <v>1</v>
      </c>
      <c r="BA429" s="5"/>
      <c r="BB429" s="5"/>
    </row>
    <row r="430" ht="12.75" customHeight="1">
      <c r="A430" s="25"/>
      <c r="B430" s="27" t="s">
        <v>741</v>
      </c>
      <c r="C430" s="135">
        <v>27000.0</v>
      </c>
      <c r="D430" s="148">
        <v>14521.25</v>
      </c>
      <c r="E430" s="142" t="s">
        <v>49</v>
      </c>
      <c r="F430" s="123">
        <v>45077.0</v>
      </c>
      <c r="G430" s="117" t="s">
        <v>40</v>
      </c>
      <c r="H430" s="123">
        <v>45170.0</v>
      </c>
      <c r="I430" s="32">
        <f t="shared" si="1"/>
        <v>3.1</v>
      </c>
      <c r="J430" s="124" t="s">
        <v>129</v>
      </c>
      <c r="K430" s="125">
        <v>24700.0</v>
      </c>
      <c r="L430" s="153">
        <v>1185.033924657534</v>
      </c>
      <c r="M430" s="151">
        <f>125+1425+8.86+237.31</f>
        <v>1796.17</v>
      </c>
      <c r="N430" s="151">
        <v>0.0</v>
      </c>
      <c r="O430" s="35">
        <f t="shared" si="67"/>
        <v>0</v>
      </c>
      <c r="P430" s="35">
        <f t="shared" si="68"/>
        <v>0</v>
      </c>
      <c r="Q430" s="36">
        <f t="shared" si="4"/>
        <v>0</v>
      </c>
      <c r="R430" s="36">
        <f t="shared" si="5"/>
        <v>1</v>
      </c>
      <c r="S430" s="37"/>
      <c r="U430" s="157">
        <f>138.81+306.68+119.24+18.05</f>
        <v>582.78</v>
      </c>
      <c r="V430" s="158">
        <v>5367.65</v>
      </c>
      <c r="W430" s="55">
        <f t="shared" ref="W430:W431" si="80">U430+V430</f>
        <v>5950.43</v>
      </c>
      <c r="X430" s="159">
        <v>0.0841</v>
      </c>
      <c r="Y430" s="55">
        <f t="shared" ref="Y430:Y431" si="81">((X430*D430)/365)*180</f>
        <v>602.2539247</v>
      </c>
      <c r="Z430" s="55">
        <f t="shared" ref="Z430:Z431" si="82">IF(Y430&lt;W430,Y430,W430)</f>
        <v>602.2539247</v>
      </c>
      <c r="AA430" s="57">
        <f t="shared" si="79"/>
        <v>1185.033925</v>
      </c>
      <c r="AC430" s="42">
        <f t="shared" si="6"/>
        <v>1</v>
      </c>
      <c r="AD430" s="3">
        <f t="shared" si="7"/>
        <v>1</v>
      </c>
      <c r="AE430" s="3">
        <f t="shared" si="8"/>
        <v>1</v>
      </c>
      <c r="AF430" s="43">
        <f t="shared" si="9"/>
        <v>1796.17</v>
      </c>
      <c r="AG430" s="44">
        <f t="shared" si="10"/>
        <v>14521.25</v>
      </c>
      <c r="AH430" s="45">
        <f t="shared" si="11"/>
        <v>3.1</v>
      </c>
      <c r="AI430" s="46">
        <f t="shared" si="12"/>
        <v>0.003142442844</v>
      </c>
      <c r="AJ430" s="47">
        <f t="shared" si="13"/>
        <v>0</v>
      </c>
      <c r="AK430" s="5"/>
      <c r="AL430" s="42">
        <f t="shared" si="14"/>
        <v>0</v>
      </c>
      <c r="AM430" s="3">
        <f t="shared" si="15"/>
        <v>1</v>
      </c>
      <c r="AN430" s="3">
        <f t="shared" si="16"/>
        <v>0</v>
      </c>
      <c r="AO430" s="3">
        <f t="shared" si="17"/>
        <v>0</v>
      </c>
      <c r="AP430" s="44">
        <f t="shared" si="18"/>
        <v>0</v>
      </c>
      <c r="AQ430" s="48">
        <f t="shared" si="19"/>
        <v>0</v>
      </c>
      <c r="AR430" s="122">
        <f t="shared" si="20"/>
        <v>0</v>
      </c>
      <c r="AS430" s="47">
        <f t="shared" si="21"/>
        <v>0</v>
      </c>
      <c r="AT430" s="5"/>
      <c r="AU430" s="49">
        <f t="shared" si="27"/>
        <v>14521.25</v>
      </c>
      <c r="AV430" s="50">
        <f t="shared" si="23"/>
        <v>1</v>
      </c>
      <c r="AW430" s="51">
        <f t="shared" si="24"/>
        <v>0.001408897943</v>
      </c>
      <c r="AX430" s="52">
        <f t="shared" si="25"/>
        <v>0</v>
      </c>
      <c r="AY430" s="5"/>
      <c r="AZ430" s="53">
        <f t="shared" si="26"/>
        <v>1</v>
      </c>
      <c r="BA430" s="5"/>
    </row>
    <row r="431" ht="12.75" customHeight="1">
      <c r="A431" s="25"/>
      <c r="B431" s="27" t="s">
        <v>742</v>
      </c>
      <c r="C431" s="135">
        <v>65000.0</v>
      </c>
      <c r="D431" s="148">
        <v>59400.0</v>
      </c>
      <c r="E431" s="142" t="s">
        <v>49</v>
      </c>
      <c r="F431" s="123">
        <v>45138.0</v>
      </c>
      <c r="G431" s="117" t="s">
        <v>40</v>
      </c>
      <c r="H431" s="123">
        <v>45314.0</v>
      </c>
      <c r="I431" s="32">
        <f t="shared" si="1"/>
        <v>5.866666667</v>
      </c>
      <c r="J431" s="124" t="s">
        <v>129</v>
      </c>
      <c r="K431" s="125">
        <v>90000.0</v>
      </c>
      <c r="L431" s="153">
        <v>2470.96</v>
      </c>
      <c r="M431" s="151">
        <f>175+5412.24+1146.86+837.43</f>
        <v>7571.53</v>
      </c>
      <c r="N431" s="151">
        <v>0.0</v>
      </c>
      <c r="O431" s="35">
        <f t="shared" si="67"/>
        <v>0</v>
      </c>
      <c r="P431" s="35">
        <f t="shared" si="68"/>
        <v>0</v>
      </c>
      <c r="Q431" s="36">
        <f t="shared" si="4"/>
        <v>0</v>
      </c>
      <c r="R431" s="36">
        <f t="shared" si="5"/>
        <v>1</v>
      </c>
      <c r="S431" s="37"/>
      <c r="U431" s="157">
        <f>665.89+1612.02+106.48+86.57</f>
        <v>2470.96</v>
      </c>
      <c r="V431" s="158">
        <v>3433.69</v>
      </c>
      <c r="W431" s="55">
        <f t="shared" si="80"/>
        <v>5904.65</v>
      </c>
      <c r="X431" s="160">
        <v>0.0</v>
      </c>
      <c r="Y431" s="55">
        <f t="shared" si="81"/>
        <v>0</v>
      </c>
      <c r="Z431" s="55">
        <f t="shared" si="82"/>
        <v>0</v>
      </c>
      <c r="AA431" s="57">
        <f t="shared" si="79"/>
        <v>2470.96</v>
      </c>
      <c r="AC431" s="42">
        <f t="shared" si="6"/>
        <v>1</v>
      </c>
      <c r="AD431" s="3">
        <f t="shared" si="7"/>
        <v>1</v>
      </c>
      <c r="AE431" s="3">
        <f t="shared" si="8"/>
        <v>1</v>
      </c>
      <c r="AF431" s="43">
        <f t="shared" si="9"/>
        <v>7571.53</v>
      </c>
      <c r="AG431" s="44">
        <f t="shared" si="10"/>
        <v>59400</v>
      </c>
      <c r="AH431" s="45">
        <f t="shared" si="11"/>
        <v>5.866666667</v>
      </c>
      <c r="AI431" s="46">
        <f t="shared" si="12"/>
        <v>0.01285434139</v>
      </c>
      <c r="AJ431" s="47">
        <f t="shared" si="13"/>
        <v>0</v>
      </c>
      <c r="AK431" s="5"/>
      <c r="AL431" s="42">
        <f t="shared" si="14"/>
        <v>0</v>
      </c>
      <c r="AM431" s="3">
        <f t="shared" si="15"/>
        <v>1</v>
      </c>
      <c r="AN431" s="3">
        <f t="shared" si="16"/>
        <v>0</v>
      </c>
      <c r="AO431" s="3">
        <f t="shared" si="17"/>
        <v>0</v>
      </c>
      <c r="AP431" s="44">
        <f t="shared" si="18"/>
        <v>0</v>
      </c>
      <c r="AQ431" s="48">
        <f t="shared" si="19"/>
        <v>0</v>
      </c>
      <c r="AR431" s="122">
        <f t="shared" si="20"/>
        <v>0</v>
      </c>
      <c r="AS431" s="47">
        <f t="shared" si="21"/>
        <v>0</v>
      </c>
      <c r="AT431" s="5"/>
      <c r="AU431" s="49">
        <f t="shared" si="27"/>
        <v>59400</v>
      </c>
      <c r="AV431" s="50">
        <f t="shared" si="23"/>
        <v>1</v>
      </c>
      <c r="AW431" s="51">
        <f t="shared" si="24"/>
        <v>0.005763177261</v>
      </c>
      <c r="AX431" s="52">
        <f t="shared" si="25"/>
        <v>0</v>
      </c>
      <c r="AY431" s="5"/>
      <c r="AZ431" s="53">
        <f t="shared" si="26"/>
        <v>1</v>
      </c>
    </row>
    <row r="432" ht="12.75" customHeight="1">
      <c r="A432" s="25"/>
      <c r="B432" s="147" t="s">
        <v>743</v>
      </c>
      <c r="C432" s="135">
        <v>36500.0</v>
      </c>
      <c r="D432" s="148">
        <v>23227.31</v>
      </c>
      <c r="E432" s="142" t="s">
        <v>49</v>
      </c>
      <c r="F432" s="123">
        <v>45497.0</v>
      </c>
      <c r="G432" s="117" t="s">
        <v>744</v>
      </c>
      <c r="H432" s="117" t="s">
        <v>129</v>
      </c>
      <c r="I432" s="161" t="s">
        <v>129</v>
      </c>
      <c r="J432" s="117" t="s">
        <v>129</v>
      </c>
      <c r="K432" s="117" t="s">
        <v>129</v>
      </c>
      <c r="L432" s="162" t="s">
        <v>129</v>
      </c>
      <c r="M432" s="163" t="s">
        <v>129</v>
      </c>
      <c r="N432" s="163" t="s">
        <v>129</v>
      </c>
      <c r="O432" s="163" t="s">
        <v>129</v>
      </c>
      <c r="P432" s="163" t="s">
        <v>129</v>
      </c>
      <c r="Q432" s="163" t="s">
        <v>129</v>
      </c>
      <c r="R432" s="163" t="s">
        <v>129</v>
      </c>
      <c r="S432" s="37"/>
      <c r="U432" s="157"/>
      <c r="V432" s="164"/>
      <c r="W432" s="164"/>
      <c r="X432" s="165"/>
      <c r="Y432" s="164"/>
      <c r="Z432" s="164"/>
      <c r="AA432" s="166"/>
      <c r="AC432" s="42">
        <f t="shared" si="6"/>
        <v>1</v>
      </c>
      <c r="AD432" s="3">
        <f t="shared" si="7"/>
        <v>0</v>
      </c>
      <c r="AE432" s="3">
        <f t="shared" si="8"/>
        <v>0</v>
      </c>
      <c r="AF432" s="43" t="str">
        <f t="shared" si="9"/>
        <v>#VALUE!</v>
      </c>
      <c r="AG432" s="44">
        <f t="shared" si="10"/>
        <v>0</v>
      </c>
      <c r="AH432" s="45">
        <f t="shared" si="11"/>
        <v>0</v>
      </c>
      <c r="AI432" s="46">
        <f t="shared" si="12"/>
        <v>0</v>
      </c>
      <c r="AJ432" s="47">
        <f t="shared" si="13"/>
        <v>0</v>
      </c>
      <c r="AK432" s="5"/>
      <c r="AL432" s="42">
        <f t="shared" si="14"/>
        <v>0</v>
      </c>
      <c r="AM432" s="3">
        <f t="shared" si="15"/>
        <v>0</v>
      </c>
      <c r="AN432" s="3">
        <f t="shared" si="16"/>
        <v>0</v>
      </c>
      <c r="AO432" s="3" t="str">
        <f t="shared" si="17"/>
        <v>#VALUE!</v>
      </c>
      <c r="AP432" s="44">
        <f t="shared" si="18"/>
        <v>0</v>
      </c>
      <c r="AQ432" s="48">
        <f t="shared" si="19"/>
        <v>0</v>
      </c>
      <c r="AR432" s="122">
        <f t="shared" si="20"/>
        <v>0</v>
      </c>
      <c r="AS432" s="47">
        <f t="shared" si="21"/>
        <v>0</v>
      </c>
      <c r="AT432" s="5"/>
      <c r="AU432" s="49">
        <f t="shared" si="27"/>
        <v>0</v>
      </c>
      <c r="AV432" s="50">
        <f t="shared" si="23"/>
        <v>0</v>
      </c>
      <c r="AW432" s="51">
        <f t="shared" si="24"/>
        <v>0</v>
      </c>
      <c r="AX432" s="52">
        <f t="shared" si="25"/>
        <v>0</v>
      </c>
      <c r="AY432" s="5"/>
      <c r="AZ432" s="53">
        <f t="shared" si="26"/>
        <v>1</v>
      </c>
    </row>
    <row r="433" ht="12.75" customHeight="1">
      <c r="A433" s="25"/>
      <c r="B433" s="27"/>
      <c r="C433" s="135"/>
      <c r="D433" s="28"/>
      <c r="E433" s="29"/>
      <c r="F433" s="30"/>
      <c r="G433" s="30"/>
      <c r="H433" s="30"/>
      <c r="I433" s="31"/>
      <c r="J433" s="33"/>
      <c r="K433" s="34"/>
      <c r="L433" s="167"/>
      <c r="M433" s="167"/>
      <c r="N433" s="167"/>
      <c r="O433" s="167"/>
      <c r="P433" s="167"/>
      <c r="Q433" s="168"/>
      <c r="R433" s="168"/>
      <c r="S433" s="37"/>
      <c r="U433" s="157"/>
      <c r="V433" s="164"/>
      <c r="W433" s="164"/>
      <c r="X433" s="165"/>
      <c r="Y433" s="164"/>
      <c r="Z433" s="164"/>
      <c r="AA433" s="166"/>
      <c r="AC433" s="42"/>
      <c r="AD433" s="3"/>
      <c r="AE433" s="3"/>
      <c r="AF433" s="43"/>
      <c r="AG433" s="44"/>
      <c r="AH433" s="45"/>
      <c r="AI433" s="46"/>
      <c r="AJ433" s="47"/>
      <c r="AL433" s="42"/>
      <c r="AM433" s="3"/>
      <c r="AN433" s="3"/>
      <c r="AO433" s="3"/>
      <c r="AP433" s="44"/>
      <c r="AQ433" s="48"/>
      <c r="AR433" s="122"/>
      <c r="AS433" s="47"/>
      <c r="AU433" s="169"/>
      <c r="AV433" s="44"/>
      <c r="AW433" s="46"/>
      <c r="AX433" s="47"/>
      <c r="AZ433" s="53"/>
    </row>
    <row r="434" ht="12.75" customHeight="1">
      <c r="A434" s="25"/>
      <c r="B434" s="170"/>
      <c r="C434" s="170"/>
      <c r="D434" s="171"/>
      <c r="E434" s="172"/>
      <c r="F434" s="173"/>
      <c r="G434" s="174"/>
      <c r="H434" s="173"/>
      <c r="I434" s="174"/>
      <c r="J434" s="104"/>
      <c r="K434" s="175"/>
      <c r="L434" s="176"/>
      <c r="M434" s="176"/>
      <c r="N434" s="176"/>
      <c r="O434" s="176"/>
      <c r="P434" s="176"/>
      <c r="Q434" s="177"/>
      <c r="R434" s="177"/>
      <c r="S434" s="37"/>
      <c r="U434" s="178"/>
      <c r="V434" s="179"/>
      <c r="W434" s="179"/>
      <c r="X434" s="180"/>
      <c r="Y434" s="179"/>
      <c r="Z434" s="179"/>
      <c r="AA434" s="181"/>
      <c r="AC434" s="42"/>
      <c r="AD434" s="3"/>
      <c r="AE434" s="3"/>
      <c r="AF434" s="43"/>
      <c r="AG434" s="44"/>
      <c r="AH434" s="45"/>
      <c r="AI434" s="46"/>
      <c r="AJ434" s="47"/>
      <c r="AL434" s="42"/>
      <c r="AM434" s="3"/>
      <c r="AN434" s="3"/>
      <c r="AO434" s="3"/>
      <c r="AP434" s="44"/>
      <c r="AQ434" s="48"/>
      <c r="AR434" s="122"/>
      <c r="AS434" s="47"/>
      <c r="AU434" s="169"/>
      <c r="AV434" s="44"/>
      <c r="AW434" s="46"/>
      <c r="AX434" s="47"/>
      <c r="AZ434" s="53"/>
    </row>
    <row r="435" ht="12.75" customHeight="1">
      <c r="A435" s="25"/>
      <c r="B435" s="182"/>
      <c r="C435" s="182"/>
      <c r="D435" s="171"/>
      <c r="E435" s="172"/>
      <c r="F435" s="183"/>
      <c r="G435" s="174"/>
      <c r="H435" s="184"/>
      <c r="I435" s="174"/>
      <c r="J435" s="104"/>
      <c r="K435" s="185"/>
      <c r="L435" s="176"/>
      <c r="M435" s="186"/>
      <c r="N435" s="176"/>
      <c r="O435" s="176"/>
      <c r="P435" s="176"/>
      <c r="Q435" s="187" t="s">
        <v>745</v>
      </c>
      <c r="R435" s="188"/>
      <c r="S435" s="37"/>
      <c r="U435" s="178"/>
      <c r="V435" s="179"/>
      <c r="W435" s="179"/>
      <c r="X435" s="180"/>
      <c r="Y435" s="179"/>
      <c r="Z435" s="179"/>
      <c r="AA435" s="181"/>
      <c r="AC435" s="42"/>
      <c r="AD435" s="3"/>
      <c r="AE435" s="3"/>
      <c r="AF435" s="3"/>
      <c r="AG435" s="44"/>
      <c r="AH435" s="44"/>
      <c r="AI435" s="44"/>
      <c r="AJ435" s="189"/>
      <c r="AL435" s="42"/>
      <c r="AM435" s="5"/>
      <c r="AN435" s="3"/>
      <c r="AO435" s="3"/>
      <c r="AP435" s="44"/>
      <c r="AQ435" s="44"/>
      <c r="AR435" s="190"/>
      <c r="AS435" s="189"/>
      <c r="AU435" s="191"/>
      <c r="AV435" s="5"/>
      <c r="AW435" s="5"/>
      <c r="AX435" s="192"/>
      <c r="AZ435" s="53"/>
    </row>
    <row r="436" ht="12.75" customHeight="1">
      <c r="A436" s="25"/>
      <c r="B436" s="193"/>
      <c r="C436" s="193"/>
      <c r="D436" s="194" t="s">
        <v>746</v>
      </c>
      <c r="E436" s="29"/>
      <c r="F436" s="194" t="s">
        <v>747</v>
      </c>
      <c r="G436" s="194" t="s">
        <v>748</v>
      </c>
      <c r="H436" s="193"/>
      <c r="I436" s="195" t="s">
        <v>749</v>
      </c>
      <c r="J436" s="195"/>
      <c r="K436" s="194"/>
      <c r="L436" s="194"/>
      <c r="M436" s="194"/>
      <c r="N436" s="194"/>
      <c r="O436" s="194"/>
      <c r="P436" s="194"/>
      <c r="Q436" s="196" t="s">
        <v>750</v>
      </c>
      <c r="R436" s="196" t="s">
        <v>751</v>
      </c>
      <c r="S436" s="37"/>
      <c r="U436" s="178"/>
      <c r="V436" s="179"/>
      <c r="W436" s="179"/>
      <c r="X436" s="180"/>
      <c r="Y436" s="179"/>
      <c r="Z436" s="197"/>
      <c r="AA436" s="198"/>
      <c r="AC436" s="199">
        <f t="shared" ref="AC436:AG436" si="83">SUM(AC6:AC433)</f>
        <v>199</v>
      </c>
      <c r="AD436" s="199">
        <f t="shared" si="83"/>
        <v>418</v>
      </c>
      <c r="AE436" s="199">
        <f t="shared" si="83"/>
        <v>191</v>
      </c>
      <c r="AF436" s="200" t="str">
        <f t="shared" si="83"/>
        <v>#VALUE!</v>
      </c>
      <c r="AG436" s="201">
        <f t="shared" si="83"/>
        <v>4621006.88</v>
      </c>
      <c r="AH436" s="202">
        <f t="shared" ref="AH436:AI436" si="84">SUM(AH6:AH435)</f>
        <v>1794.433333</v>
      </c>
      <c r="AI436" s="203">
        <f t="shared" si="84"/>
        <v>1</v>
      </c>
      <c r="AJ436" s="204">
        <f>SUM(AJ6:AJ433)</f>
        <v>0.1113929796</v>
      </c>
      <c r="AK436" s="191"/>
      <c r="AL436" s="199">
        <f>SUM(AL6:AL433)</f>
        <v>228</v>
      </c>
      <c r="AM436" s="205"/>
      <c r="AN436" s="205">
        <f t="shared" ref="AN436:AS436" si="85">SUM(AN6:AN435)</f>
        <v>227</v>
      </c>
      <c r="AO436" s="206" t="str">
        <f t="shared" si="85"/>
        <v>#VALUE!</v>
      </c>
      <c r="AP436" s="206">
        <f t="shared" si="85"/>
        <v>5700549.44</v>
      </c>
      <c r="AQ436" s="202">
        <f t="shared" si="85"/>
        <v>1456.2</v>
      </c>
      <c r="AR436" s="203">
        <f t="shared" si="85"/>
        <v>1</v>
      </c>
      <c r="AS436" s="204">
        <f t="shared" si="85"/>
        <v>0.1400922136</v>
      </c>
      <c r="AU436" s="207">
        <f>SUM(AU7:AU434)</f>
        <v>10306814.68</v>
      </c>
      <c r="AV436" s="208"/>
      <c r="AW436" s="209">
        <f>SUM(AW6:AW434)</f>
        <v>1.001430281</v>
      </c>
      <c r="AX436" s="210">
        <f>SUM(AX6:AX433)</f>
        <v>0.1274254322</v>
      </c>
      <c r="AZ436" s="211">
        <f>SUM(AZ6:AZ435)</f>
        <v>427</v>
      </c>
    </row>
    <row r="437" ht="12.75" customHeight="1">
      <c r="A437" s="25"/>
      <c r="B437" s="212" t="s">
        <v>752</v>
      </c>
      <c r="C437" s="213"/>
      <c r="D437" s="214">
        <f>SUM(D6:D433)</f>
        <v>10530700.02</v>
      </c>
      <c r="E437" s="215">
        <f>AZ436</f>
        <v>427</v>
      </c>
      <c r="F437" s="216">
        <f t="shared" ref="F437:G437" si="86">SUM(F439:F440)</f>
        <v>1</v>
      </c>
      <c r="G437" s="216">
        <f t="shared" si="86"/>
        <v>1</v>
      </c>
      <c r="H437" s="217"/>
      <c r="I437" s="218">
        <f>SUM(I6:I433)/(AE436+AN436)</f>
        <v>7.776634769</v>
      </c>
      <c r="J437" s="219"/>
      <c r="K437" s="214">
        <f t="shared" ref="K437:P437" si="87">SUM(K6:K433)</f>
        <v>10906916.84</v>
      </c>
      <c r="L437" s="214">
        <f t="shared" si="87"/>
        <v>627502.5625</v>
      </c>
      <c r="M437" s="214">
        <f t="shared" si="87"/>
        <v>826223.515</v>
      </c>
      <c r="N437" s="214">
        <f t="shared" si="87"/>
        <v>139772.14</v>
      </c>
      <c r="O437" s="214">
        <f t="shared" si="87"/>
        <v>468771.98</v>
      </c>
      <c r="P437" s="214">
        <f t="shared" si="87"/>
        <v>1313350.315</v>
      </c>
      <c r="Q437" s="220">
        <f>AX436</f>
        <v>0.1274254322</v>
      </c>
      <c r="R437" s="221">
        <f>1-Q437</f>
        <v>0.8725745678</v>
      </c>
      <c r="S437" s="37"/>
      <c r="U437" s="178"/>
      <c r="V437" s="179"/>
      <c r="W437" s="179"/>
      <c r="X437" s="180"/>
      <c r="Y437" s="179"/>
      <c r="Z437" s="179"/>
      <c r="AA437" s="181"/>
      <c r="AC437" s="222" t="s">
        <v>753</v>
      </c>
      <c r="AD437" s="223"/>
      <c r="AE437" s="223" t="s">
        <v>754</v>
      </c>
      <c r="AF437" s="223"/>
      <c r="AG437" s="50"/>
      <c r="AH437" s="50"/>
      <c r="AI437" s="50"/>
      <c r="AJ437" s="224"/>
      <c r="AL437" s="42"/>
      <c r="AM437" s="5"/>
      <c r="AN437" s="3"/>
      <c r="AO437" s="3"/>
      <c r="AP437" s="44"/>
      <c r="AQ437" s="44"/>
      <c r="AR437" s="190"/>
      <c r="AS437" s="189"/>
      <c r="AU437" s="191"/>
      <c r="AV437" s="5"/>
      <c r="AW437" s="5"/>
      <c r="AX437" s="192"/>
      <c r="AZ437" s="53"/>
    </row>
    <row r="438" ht="12.75" customHeight="1">
      <c r="A438" s="25"/>
      <c r="B438" s="193"/>
      <c r="C438" s="193"/>
      <c r="D438" s="193"/>
      <c r="E438" s="225"/>
      <c r="F438" s="225"/>
      <c r="G438" s="225"/>
      <c r="H438" s="193"/>
      <c r="I438" s="226"/>
      <c r="J438" s="226"/>
      <c r="K438" s="193"/>
      <c r="L438" s="193"/>
      <c r="M438" s="193"/>
      <c r="N438" s="193"/>
      <c r="O438" s="193"/>
      <c r="P438" s="193"/>
      <c r="Q438" s="193"/>
      <c r="R438" s="193"/>
      <c r="S438" s="37"/>
      <c r="U438" s="178"/>
      <c r="V438" s="179"/>
      <c r="W438" s="179"/>
      <c r="X438" s="180"/>
      <c r="Y438" s="179"/>
      <c r="Z438" s="179"/>
      <c r="AA438" s="181"/>
      <c r="AC438" s="42"/>
      <c r="AD438" s="3"/>
      <c r="AE438" s="3"/>
      <c r="AF438" s="3"/>
      <c r="AG438" s="44"/>
      <c r="AH438" s="44"/>
      <c r="AI438" s="44"/>
      <c r="AJ438" s="189"/>
      <c r="AL438" s="42"/>
      <c r="AM438" s="5"/>
      <c r="AN438" s="3"/>
      <c r="AO438" s="3"/>
      <c r="AP438" s="44"/>
      <c r="AQ438" s="44"/>
      <c r="AR438" s="190"/>
      <c r="AS438" s="189"/>
      <c r="AU438" s="191"/>
      <c r="AV438" s="5"/>
      <c r="AW438" s="5"/>
      <c r="AX438" s="192"/>
      <c r="AZ438" s="53"/>
    </row>
    <row r="439" ht="12.75" customHeight="1">
      <c r="A439" s="25"/>
      <c r="B439" s="227" t="s">
        <v>49</v>
      </c>
      <c r="C439" s="228"/>
      <c r="D439" s="229">
        <f>SUMIF(E6:E433,"Legal Foreclosure",D6:D433)</f>
        <v>4813626.52</v>
      </c>
      <c r="E439" s="230">
        <f>AC436</f>
        <v>199</v>
      </c>
      <c r="F439" s="231">
        <f t="shared" ref="F439:F440" si="90">D439/$D$437</f>
        <v>0.4571041347</v>
      </c>
      <c r="G439" s="231">
        <f t="shared" ref="G439:G440" si="91">E439/$E$437</f>
        <v>0.4660421546</v>
      </c>
      <c r="H439" s="232"/>
      <c r="I439" s="233">
        <f>AH436/AE436</f>
        <v>9.394938918</v>
      </c>
      <c r="J439" s="234"/>
      <c r="K439" s="229">
        <f t="shared" ref="K439:M439" si="88">SUMIF($E$6:$E$433,"Legal Foreclosure",K6:K433)</f>
        <v>5237629.39</v>
      </c>
      <c r="L439" s="229">
        <f t="shared" si="88"/>
        <v>313083.7925</v>
      </c>
      <c r="M439" s="229">
        <f t="shared" si="88"/>
        <v>503877.285</v>
      </c>
      <c r="N439" s="229">
        <f t="shared" ref="N439:P439" si="89">SUMIF($E$7:$E$433,"Legal Foreclosure",N6:N433)</f>
        <v>81823.46</v>
      </c>
      <c r="O439" s="229">
        <f t="shared" si="89"/>
        <v>227120.16</v>
      </c>
      <c r="P439" s="229">
        <f t="shared" si="89"/>
        <v>611108.435</v>
      </c>
      <c r="Q439" s="235">
        <f>AJ436</f>
        <v>0.1113929796</v>
      </c>
      <c r="R439" s="236">
        <f t="shared" ref="R439:R440" si="94">1-Q439</f>
        <v>0.8886070204</v>
      </c>
      <c r="S439" s="37"/>
      <c r="U439" s="178"/>
      <c r="V439" s="179"/>
      <c r="W439" s="179"/>
      <c r="X439" s="180"/>
      <c r="Y439" s="179"/>
      <c r="Z439" s="179"/>
      <c r="AA439" s="181"/>
      <c r="AC439" s="42"/>
      <c r="AD439" s="3"/>
      <c r="AE439" s="3"/>
      <c r="AF439" s="3"/>
      <c r="AG439" s="44"/>
      <c r="AH439" s="44"/>
      <c r="AI439" s="44"/>
      <c r="AJ439" s="189"/>
      <c r="AL439" s="42"/>
      <c r="AM439" s="5"/>
      <c r="AN439" s="3"/>
      <c r="AO439" s="3"/>
      <c r="AP439" s="44"/>
      <c r="AQ439" s="44"/>
      <c r="AR439" s="190"/>
      <c r="AS439" s="189"/>
      <c r="AU439" s="191"/>
      <c r="AV439" s="5"/>
      <c r="AW439" s="5"/>
      <c r="AX439" s="192"/>
      <c r="AZ439" s="53"/>
    </row>
    <row r="440" ht="12.75" customHeight="1">
      <c r="A440" s="25"/>
      <c r="B440" s="237" t="s">
        <v>39</v>
      </c>
      <c r="C440" s="238"/>
      <c r="D440" s="239">
        <f>SUMIF(E6:E433,"Deed in Lieu",D6:D433)</f>
        <v>5717073.5</v>
      </c>
      <c r="E440" s="240">
        <f>AL436</f>
        <v>228</v>
      </c>
      <c r="F440" s="241">
        <f t="shared" si="90"/>
        <v>0.5428958653</v>
      </c>
      <c r="G440" s="241">
        <f t="shared" si="91"/>
        <v>0.5339578454</v>
      </c>
      <c r="H440" s="242"/>
      <c r="I440" s="243">
        <f>AQ436/AN436</f>
        <v>6.414977974</v>
      </c>
      <c r="J440" s="244"/>
      <c r="K440" s="239">
        <f>SUMIF($E$8:$E$433,"Deed in Lieu",K6:K433)</f>
        <v>5597912.27</v>
      </c>
      <c r="L440" s="239">
        <f t="shared" ref="L440:M440" si="92">SUMIF($E$6:$E$433,"Deed in Lieu",L6:L433)</f>
        <v>314418.77</v>
      </c>
      <c r="M440" s="239">
        <f t="shared" si="92"/>
        <v>322346.23</v>
      </c>
      <c r="N440" s="239">
        <f>SUMIF($E$8:$E$433,"Deed in Lieu",N6:N433)</f>
        <v>61260.19</v>
      </c>
      <c r="O440" s="239">
        <f t="shared" ref="O440:P440" si="93">SUMIF($E$7:$E$433,"Deed in Lieu",O6:O433)</f>
        <v>241651.82</v>
      </c>
      <c r="P440" s="239">
        <f t="shared" si="93"/>
        <v>702241.88</v>
      </c>
      <c r="Q440" s="245">
        <f>AS436</f>
        <v>0.1400922136</v>
      </c>
      <c r="R440" s="246">
        <f t="shared" si="94"/>
        <v>0.8599077864</v>
      </c>
      <c r="S440" s="37"/>
      <c r="U440" s="247"/>
      <c r="V440" s="248"/>
      <c r="W440" s="248" t="s">
        <v>755</v>
      </c>
      <c r="X440" s="249"/>
      <c r="Y440" s="250"/>
      <c r="Z440" s="250"/>
      <c r="AA440" s="251"/>
      <c r="AC440" s="25"/>
      <c r="AD440" s="252"/>
      <c r="AE440" s="253"/>
      <c r="AF440" s="225" t="s">
        <v>756</v>
      </c>
      <c r="AG440" s="254"/>
      <c r="AH440" s="254"/>
      <c r="AI440" s="177">
        <f>AG436/(AG436+AP436)</f>
        <v>0.4477044679</v>
      </c>
      <c r="AJ440" s="255"/>
      <c r="AL440" s="25"/>
      <c r="AM440" s="193"/>
      <c r="AN440" s="225"/>
      <c r="AO440" s="225" t="s">
        <v>757</v>
      </c>
      <c r="AP440" s="254"/>
      <c r="AQ440" s="254"/>
      <c r="AR440" s="256">
        <f>AP436/(AP436+AG436)</f>
        <v>0.5522955321</v>
      </c>
      <c r="AS440" s="255"/>
      <c r="AU440" s="25"/>
      <c r="AV440" s="225"/>
      <c r="AW440" s="225"/>
      <c r="AX440" s="257"/>
      <c r="AZ440" s="258"/>
    </row>
    <row r="441" ht="12.75" customHeight="1">
      <c r="A441" s="259"/>
      <c r="B441" s="260"/>
      <c r="C441" s="260"/>
      <c r="D441" s="260"/>
      <c r="E441" s="260"/>
      <c r="F441" s="240"/>
      <c r="G441" s="260"/>
      <c r="H441" s="260"/>
      <c r="I441" s="195"/>
      <c r="J441" s="195"/>
      <c r="K441" s="260"/>
      <c r="L441" s="245">
        <f>L437/(AG436+AP436)</f>
        <v>0.06079534356</v>
      </c>
      <c r="M441" s="245">
        <f>M437/(AG436+AP436)</f>
        <v>0.08004834633</v>
      </c>
      <c r="N441" s="245">
        <f>N437/(AG436+AP436)</f>
        <v>0.01354176983</v>
      </c>
      <c r="O441" s="245">
        <f>O437/(AG436+AP436)</f>
        <v>0.04541679234</v>
      </c>
      <c r="P441" s="245">
        <f>P437/(AG436+AP436)</f>
        <v>0.1272434383</v>
      </c>
      <c r="Q441" s="260"/>
      <c r="R441" s="260"/>
      <c r="S441" s="246"/>
      <c r="U441" s="261"/>
      <c r="V441" s="262"/>
      <c r="W441" s="262"/>
      <c r="X441" s="263"/>
      <c r="Y441" s="262"/>
      <c r="Z441" s="262"/>
      <c r="AA441" s="264"/>
      <c r="AC441" s="259"/>
      <c r="AD441" s="265"/>
      <c r="AE441" s="266"/>
      <c r="AF441" s="240" t="s">
        <v>758</v>
      </c>
      <c r="AG441" s="267"/>
      <c r="AH441" s="267"/>
      <c r="AI441" s="245" t="str">
        <f>AF436/AG436</f>
        <v>#VALUE!</v>
      </c>
      <c r="AJ441" s="268"/>
      <c r="AL441" s="259"/>
      <c r="AM441" s="240"/>
      <c r="AN441" s="240"/>
      <c r="AO441" s="240" t="s">
        <v>758</v>
      </c>
      <c r="AP441" s="267"/>
      <c r="AQ441" s="267"/>
      <c r="AR441" s="269" t="str">
        <f>AO436/AP436</f>
        <v>#VALUE!</v>
      </c>
      <c r="AS441" s="268"/>
      <c r="AU441" s="259"/>
      <c r="AV441" s="240"/>
      <c r="AW441" s="240"/>
      <c r="AX441" s="270"/>
      <c r="AZ441" s="271"/>
    </row>
    <row r="442" ht="12.75" customHeight="1">
      <c r="A442" s="3"/>
      <c r="F442" s="3"/>
      <c r="J442" s="4"/>
      <c r="R442" s="272"/>
      <c r="S442" s="46"/>
      <c r="X442" s="6"/>
      <c r="AA442" s="7"/>
      <c r="AC442" s="3"/>
      <c r="AD442" s="3"/>
      <c r="AE442" s="3"/>
      <c r="AF442" s="3"/>
      <c r="AG442" s="44"/>
      <c r="AH442" s="44"/>
      <c r="AI442" s="44"/>
      <c r="AJ442" s="44"/>
      <c r="AL442" s="3"/>
      <c r="AN442" s="3"/>
      <c r="AO442" s="3"/>
      <c r="AP442" s="44"/>
      <c r="AQ442" s="44"/>
      <c r="AR442" s="44"/>
      <c r="AS442" s="44"/>
      <c r="AZ442" s="3"/>
    </row>
    <row r="443" ht="12.75" customHeight="1">
      <c r="A443" s="3"/>
      <c r="B443" s="273" t="s">
        <v>759</v>
      </c>
      <c r="F443" s="3"/>
      <c r="J443" s="4"/>
      <c r="R443" s="272"/>
      <c r="S443" s="46"/>
      <c r="X443" s="6"/>
      <c r="AA443" s="7"/>
      <c r="AC443" s="3"/>
      <c r="AD443" s="3"/>
      <c r="AE443" s="3"/>
      <c r="AF443" s="3"/>
      <c r="AG443" s="44"/>
      <c r="AH443" s="44"/>
      <c r="AI443" s="44"/>
      <c r="AJ443" s="44"/>
      <c r="AL443" s="3"/>
      <c r="AN443" s="3"/>
      <c r="AO443" s="3"/>
      <c r="AP443" s="44"/>
      <c r="AQ443" s="44"/>
      <c r="AR443" s="44"/>
      <c r="AS443" s="44"/>
      <c r="AZ443" s="3"/>
    </row>
    <row r="444" ht="12.75" customHeight="1">
      <c r="A444" s="3"/>
      <c r="B444" s="273" t="s">
        <v>760</v>
      </c>
      <c r="F444" s="3"/>
      <c r="H444" s="274"/>
      <c r="I444" s="274"/>
      <c r="J444" s="275"/>
      <c r="K444" s="274"/>
      <c r="L444" s="274"/>
      <c r="M444" s="274"/>
      <c r="R444" s="272"/>
      <c r="S444" s="46"/>
      <c r="X444" s="6"/>
      <c r="AA444" s="276"/>
      <c r="AC444" s="3"/>
      <c r="AD444" s="3"/>
      <c r="AE444" s="3"/>
      <c r="AF444" s="3"/>
      <c r="AG444" s="44"/>
      <c r="AH444" s="44"/>
      <c r="AI444" s="44"/>
      <c r="AJ444" s="44"/>
      <c r="AL444" s="3"/>
      <c r="AN444" s="3"/>
      <c r="AO444" s="3"/>
      <c r="AP444" s="44"/>
      <c r="AQ444" s="44"/>
      <c r="AR444" s="44"/>
      <c r="AS444" s="44"/>
      <c r="AZ444" s="3"/>
    </row>
    <row r="445" ht="12.75" customHeight="1">
      <c r="A445" s="3"/>
      <c r="F445" s="3"/>
      <c r="J445" s="4"/>
      <c r="R445" s="272"/>
      <c r="S445" s="46"/>
      <c r="X445" s="6"/>
      <c r="AA445" s="7"/>
      <c r="AC445" s="3"/>
      <c r="AD445" s="3"/>
      <c r="AE445" s="3"/>
      <c r="AF445" s="3"/>
      <c r="AG445" s="44"/>
      <c r="AH445" s="44"/>
      <c r="AI445" s="44"/>
      <c r="AJ445" s="44"/>
      <c r="AL445" s="3"/>
      <c r="AN445" s="3"/>
      <c r="AO445" s="3"/>
      <c r="AP445" s="44"/>
      <c r="AQ445" s="44"/>
      <c r="AR445" s="44"/>
      <c r="AS445" s="44"/>
      <c r="AZ445" s="3"/>
    </row>
    <row r="446" ht="12.75" customHeight="1">
      <c r="A446" s="3"/>
      <c r="F446" s="3"/>
      <c r="J446" s="4"/>
      <c r="R446" s="272"/>
      <c r="S446" s="46"/>
      <c r="X446" s="6"/>
      <c r="AA446" s="7"/>
      <c r="AC446" s="3"/>
      <c r="AD446" s="3"/>
      <c r="AE446" s="3"/>
      <c r="AF446" s="3"/>
      <c r="AG446" s="44"/>
      <c r="AH446" s="44"/>
      <c r="AI446" s="44"/>
      <c r="AJ446" s="44"/>
      <c r="AL446" s="3"/>
      <c r="AN446" s="3"/>
      <c r="AO446" s="3"/>
      <c r="AP446" s="44"/>
      <c r="AQ446" s="44"/>
      <c r="AR446" s="44"/>
      <c r="AS446" s="44"/>
      <c r="AZ446" s="3"/>
    </row>
    <row r="447" ht="12.75" customHeight="1">
      <c r="A447" s="3"/>
      <c r="F447" s="3"/>
      <c r="J447" s="4"/>
      <c r="R447" s="272"/>
      <c r="S447" s="46"/>
      <c r="X447" s="6"/>
      <c r="AA447" s="7"/>
      <c r="AC447" s="3"/>
      <c r="AD447" s="3"/>
      <c r="AE447" s="3"/>
      <c r="AF447" s="3"/>
      <c r="AG447" s="44"/>
      <c r="AH447" s="44"/>
      <c r="AI447" s="44"/>
      <c r="AJ447" s="44"/>
      <c r="AL447" s="3"/>
      <c r="AN447" s="3"/>
      <c r="AO447" s="3"/>
      <c r="AP447" s="44"/>
      <c r="AQ447" s="44"/>
      <c r="AR447" s="44"/>
      <c r="AS447" s="44"/>
      <c r="AZ447" s="3"/>
    </row>
    <row r="448" ht="12.75" customHeight="1">
      <c r="A448" s="3"/>
      <c r="F448" s="3"/>
      <c r="J448" s="4"/>
      <c r="S448" s="46"/>
      <c r="X448" s="6"/>
      <c r="AA448" s="7"/>
      <c r="AC448" s="3"/>
      <c r="AD448" s="3"/>
      <c r="AE448" s="3"/>
      <c r="AF448" s="3"/>
      <c r="AG448" s="44"/>
      <c r="AH448" s="44"/>
      <c r="AI448" s="44"/>
      <c r="AJ448" s="44"/>
      <c r="AL448" s="3"/>
      <c r="AN448" s="3"/>
      <c r="AO448" s="3"/>
      <c r="AP448" s="44"/>
      <c r="AQ448" s="44"/>
      <c r="AR448" s="44"/>
      <c r="AS448" s="44"/>
      <c r="AZ448" s="3"/>
    </row>
    <row r="449" ht="12.75" customHeight="1">
      <c r="A449" s="3"/>
      <c r="F449" s="3"/>
      <c r="J449" s="4"/>
      <c r="S449" s="46"/>
      <c r="X449" s="6"/>
      <c r="AA449" s="7"/>
      <c r="AC449" s="3"/>
      <c r="AD449" s="3"/>
      <c r="AE449" s="3"/>
      <c r="AF449" s="3"/>
      <c r="AG449" s="44"/>
      <c r="AH449" s="44"/>
      <c r="AI449" s="44"/>
      <c r="AJ449" s="44"/>
      <c r="AL449" s="3"/>
      <c r="AN449" s="3"/>
      <c r="AO449" s="3"/>
      <c r="AP449" s="44"/>
      <c r="AQ449" s="44"/>
      <c r="AR449" s="44"/>
      <c r="AS449" s="44"/>
      <c r="AZ449" s="3"/>
    </row>
    <row r="450" ht="12.75" customHeight="1">
      <c r="A450" s="3"/>
      <c r="F450" s="3"/>
      <c r="J450" s="4"/>
      <c r="S450" s="46"/>
      <c r="X450" s="6"/>
      <c r="AA450" s="7"/>
      <c r="AC450" s="3"/>
      <c r="AD450" s="3"/>
      <c r="AE450" s="3"/>
      <c r="AF450" s="3"/>
      <c r="AG450" s="44"/>
      <c r="AH450" s="44"/>
      <c r="AI450" s="44"/>
      <c r="AJ450" s="44"/>
      <c r="AL450" s="3"/>
      <c r="AN450" s="3"/>
      <c r="AO450" s="3"/>
      <c r="AP450" s="44"/>
      <c r="AQ450" s="44"/>
      <c r="AR450" s="44"/>
      <c r="AS450" s="44"/>
      <c r="AZ450" s="3"/>
    </row>
    <row r="451" ht="12.75" customHeight="1">
      <c r="A451" s="3"/>
      <c r="F451" s="3"/>
      <c r="J451" s="4"/>
      <c r="S451" s="46"/>
      <c r="X451" s="6"/>
      <c r="AA451" s="7"/>
      <c r="AC451" s="3"/>
      <c r="AD451" s="3"/>
      <c r="AE451" s="3"/>
      <c r="AF451" s="3"/>
      <c r="AG451" s="44"/>
      <c r="AH451" s="44"/>
      <c r="AI451" s="44"/>
      <c r="AJ451" s="44"/>
      <c r="AL451" s="3"/>
      <c r="AN451" s="3"/>
      <c r="AO451" s="3"/>
      <c r="AP451" s="44"/>
      <c r="AQ451" s="44"/>
      <c r="AR451" s="44"/>
      <c r="AS451" s="44"/>
      <c r="AZ451" s="3"/>
    </row>
    <row r="452" ht="12.75" customHeight="1">
      <c r="A452" s="3"/>
      <c r="F452" s="3"/>
      <c r="J452" s="4"/>
      <c r="S452" s="46"/>
      <c r="X452" s="6"/>
      <c r="AA452" s="7"/>
      <c r="AC452" s="3"/>
      <c r="AD452" s="3"/>
      <c r="AE452" s="3"/>
      <c r="AF452" s="3"/>
      <c r="AG452" s="44"/>
      <c r="AH452" s="44"/>
      <c r="AI452" s="44"/>
      <c r="AJ452" s="44"/>
      <c r="AL452" s="3"/>
      <c r="AN452" s="3"/>
      <c r="AO452" s="3"/>
      <c r="AP452" s="44"/>
      <c r="AQ452" s="44"/>
      <c r="AR452" s="44"/>
      <c r="AS452" s="44"/>
      <c r="AZ452" s="3"/>
    </row>
    <row r="453" ht="12.75" customHeight="1">
      <c r="A453" s="3"/>
      <c r="F453" s="3"/>
      <c r="J453" s="4"/>
      <c r="S453" s="46"/>
      <c r="X453" s="6"/>
      <c r="AA453" s="7"/>
      <c r="AC453" s="3"/>
      <c r="AD453" s="3"/>
      <c r="AE453" s="3"/>
      <c r="AF453" s="3"/>
      <c r="AG453" s="44"/>
      <c r="AH453" s="44"/>
      <c r="AI453" s="44"/>
      <c r="AJ453" s="44"/>
      <c r="AL453" s="3"/>
      <c r="AN453" s="3"/>
      <c r="AO453" s="3"/>
      <c r="AP453" s="44"/>
      <c r="AQ453" s="44"/>
      <c r="AR453" s="44"/>
      <c r="AS453" s="44"/>
      <c r="AZ453" s="3"/>
    </row>
    <row r="454" ht="12.75" customHeight="1">
      <c r="A454" s="3"/>
      <c r="F454" s="3"/>
      <c r="J454" s="4"/>
      <c r="S454" s="46"/>
      <c r="X454" s="6"/>
      <c r="AA454" s="7"/>
      <c r="AC454" s="3"/>
      <c r="AD454" s="3"/>
      <c r="AE454" s="3"/>
      <c r="AF454" s="3"/>
      <c r="AG454" s="44"/>
      <c r="AH454" s="44"/>
      <c r="AI454" s="44"/>
      <c r="AJ454" s="44"/>
      <c r="AL454" s="3"/>
      <c r="AN454" s="3"/>
      <c r="AO454" s="3"/>
      <c r="AP454" s="44"/>
      <c r="AQ454" s="44"/>
      <c r="AR454" s="44"/>
      <c r="AS454" s="44"/>
      <c r="AZ454" s="3"/>
    </row>
    <row r="455" ht="12.75" customHeight="1">
      <c r="A455" s="3"/>
      <c r="F455" s="3"/>
      <c r="J455" s="4"/>
      <c r="S455" s="46"/>
      <c r="X455" s="6"/>
      <c r="AA455" s="7"/>
      <c r="AC455" s="3"/>
      <c r="AD455" s="3"/>
      <c r="AE455" s="3"/>
      <c r="AF455" s="3"/>
      <c r="AG455" s="44"/>
      <c r="AH455" s="44"/>
      <c r="AI455" s="44"/>
      <c r="AJ455" s="44"/>
      <c r="AL455" s="3"/>
      <c r="AN455" s="3"/>
      <c r="AO455" s="3"/>
      <c r="AP455" s="44"/>
      <c r="AQ455" s="44"/>
      <c r="AR455" s="44"/>
      <c r="AS455" s="44"/>
      <c r="AZ455" s="3"/>
    </row>
    <row r="456" ht="12.75" customHeight="1">
      <c r="A456" s="3"/>
      <c r="B456" s="277"/>
      <c r="C456" s="277"/>
      <c r="D456" s="277"/>
      <c r="E456" s="277"/>
      <c r="F456" s="278"/>
      <c r="G456" s="277"/>
      <c r="H456" s="277"/>
      <c r="I456" s="277"/>
      <c r="J456" s="278"/>
      <c r="K456" s="277"/>
      <c r="L456" s="277"/>
      <c r="M456" s="277"/>
      <c r="S456" s="46"/>
      <c r="X456" s="6"/>
      <c r="AA456" s="7"/>
      <c r="AC456" s="3"/>
      <c r="AD456" s="3"/>
      <c r="AE456" s="3"/>
      <c r="AF456" s="3"/>
      <c r="AG456" s="44"/>
      <c r="AH456" s="44"/>
      <c r="AI456" s="44"/>
      <c r="AJ456" s="44"/>
      <c r="AL456" s="3"/>
      <c r="AN456" s="3"/>
      <c r="AO456" s="3"/>
      <c r="AP456" s="44"/>
      <c r="AQ456" s="44"/>
      <c r="AR456" s="44"/>
      <c r="AS456" s="44"/>
      <c r="AZ456" s="3"/>
    </row>
    <row r="457" ht="12.75" customHeight="1">
      <c r="A457" s="3"/>
      <c r="B457" s="277"/>
      <c r="C457" s="277"/>
      <c r="D457" s="277"/>
      <c r="E457" s="277"/>
      <c r="F457" s="278"/>
      <c r="G457" s="277"/>
      <c r="H457" s="277"/>
      <c r="I457" s="277"/>
      <c r="J457" s="278"/>
      <c r="K457" s="277"/>
      <c r="L457" s="277"/>
      <c r="M457" s="277"/>
      <c r="S457" s="46"/>
      <c r="X457" s="6"/>
      <c r="AA457" s="7"/>
      <c r="AC457" s="3"/>
      <c r="AD457" s="3"/>
      <c r="AE457" s="3"/>
      <c r="AF457" s="3"/>
      <c r="AG457" s="44"/>
      <c r="AH457" s="44"/>
      <c r="AI457" s="44"/>
      <c r="AJ457" s="44"/>
      <c r="AL457" s="3"/>
      <c r="AN457" s="3"/>
      <c r="AO457" s="3"/>
      <c r="AP457" s="44"/>
      <c r="AQ457" s="44"/>
      <c r="AR457" s="44"/>
      <c r="AS457" s="44"/>
      <c r="AZ457" s="3"/>
    </row>
    <row r="458" ht="12.75" customHeight="1">
      <c r="A458" s="3"/>
      <c r="B458" s="277"/>
      <c r="C458" s="277"/>
      <c r="D458" s="277"/>
      <c r="E458" s="277"/>
      <c r="F458" s="278"/>
      <c r="G458" s="277"/>
      <c r="H458" s="277"/>
      <c r="I458" s="277"/>
      <c r="J458" s="278"/>
      <c r="K458" s="277"/>
      <c r="L458" s="277"/>
      <c r="M458" s="277"/>
      <c r="S458" s="46"/>
      <c r="X458" s="6"/>
      <c r="AA458" s="7"/>
      <c r="AC458" s="3"/>
      <c r="AD458" s="3"/>
      <c r="AE458" s="3"/>
      <c r="AF458" s="3"/>
      <c r="AG458" s="44"/>
      <c r="AH458" s="44"/>
      <c r="AI458" s="44"/>
      <c r="AJ458" s="44"/>
      <c r="AL458" s="3"/>
      <c r="AN458" s="3"/>
      <c r="AO458" s="3"/>
      <c r="AP458" s="44"/>
      <c r="AQ458" s="44"/>
      <c r="AR458" s="44"/>
      <c r="AS458" s="44"/>
      <c r="AZ458" s="3"/>
    </row>
    <row r="459" ht="12.75" customHeight="1">
      <c r="A459" s="3"/>
      <c r="B459" s="277"/>
      <c r="C459" s="277"/>
      <c r="D459" s="277"/>
      <c r="E459" s="277"/>
      <c r="F459" s="278"/>
      <c r="G459" s="277"/>
      <c r="H459" s="277"/>
      <c r="I459" s="277"/>
      <c r="J459" s="278"/>
      <c r="K459" s="277"/>
      <c r="L459" s="277"/>
      <c r="M459" s="277"/>
      <c r="S459" s="46"/>
      <c r="X459" s="6"/>
      <c r="AA459" s="7"/>
      <c r="AC459" s="3"/>
      <c r="AD459" s="3"/>
      <c r="AE459" s="3"/>
      <c r="AF459" s="3"/>
      <c r="AG459" s="44"/>
      <c r="AH459" s="44"/>
      <c r="AI459" s="44"/>
      <c r="AJ459" s="44"/>
      <c r="AL459" s="3"/>
      <c r="AN459" s="3"/>
      <c r="AO459" s="3"/>
      <c r="AP459" s="44"/>
      <c r="AQ459" s="44"/>
      <c r="AR459" s="44"/>
      <c r="AS459" s="44"/>
      <c r="AZ459" s="3"/>
    </row>
    <row r="460" ht="12.75" customHeight="1">
      <c r="A460" s="3"/>
      <c r="B460" s="277"/>
      <c r="C460" s="277"/>
      <c r="D460" s="277"/>
      <c r="E460" s="277"/>
      <c r="F460" s="278"/>
      <c r="G460" s="277"/>
      <c r="H460" s="277"/>
      <c r="I460" s="277"/>
      <c r="J460" s="278"/>
      <c r="K460" s="277"/>
      <c r="L460" s="277"/>
      <c r="M460" s="277"/>
      <c r="S460" s="46"/>
      <c r="X460" s="6"/>
      <c r="AA460" s="7"/>
      <c r="AC460" s="3"/>
      <c r="AD460" s="3"/>
      <c r="AE460" s="3"/>
      <c r="AF460" s="3"/>
      <c r="AG460" s="44"/>
      <c r="AH460" s="44"/>
      <c r="AI460" s="44"/>
      <c r="AJ460" s="44"/>
      <c r="AL460" s="3"/>
      <c r="AN460" s="3"/>
      <c r="AO460" s="3"/>
      <c r="AP460" s="44"/>
      <c r="AQ460" s="44"/>
      <c r="AR460" s="44"/>
      <c r="AS460" s="44"/>
      <c r="AZ460" s="3"/>
    </row>
    <row r="461" ht="12.75" customHeight="1">
      <c r="A461" s="3"/>
      <c r="B461" s="277"/>
      <c r="C461" s="277"/>
      <c r="D461" s="277"/>
      <c r="E461" s="277"/>
      <c r="F461" s="278"/>
      <c r="G461" s="277"/>
      <c r="H461" s="277"/>
      <c r="I461" s="277"/>
      <c r="J461" s="278"/>
      <c r="K461" s="277"/>
      <c r="L461" s="277"/>
      <c r="M461" s="277"/>
      <c r="S461" s="46"/>
      <c r="X461" s="6"/>
      <c r="AA461" s="7"/>
      <c r="AC461" s="3"/>
      <c r="AD461" s="3"/>
      <c r="AE461" s="3"/>
      <c r="AF461" s="3"/>
      <c r="AG461" s="44"/>
      <c r="AH461" s="44"/>
      <c r="AI461" s="44"/>
      <c r="AJ461" s="44"/>
      <c r="AL461" s="3"/>
      <c r="AN461" s="3"/>
      <c r="AO461" s="3"/>
      <c r="AP461" s="44"/>
      <c r="AQ461" s="44"/>
      <c r="AR461" s="44"/>
      <c r="AS461" s="44"/>
      <c r="AZ461" s="3"/>
    </row>
    <row r="462" ht="12.75" customHeight="1">
      <c r="A462" s="3"/>
      <c r="B462" s="277"/>
      <c r="C462" s="277"/>
      <c r="D462" s="277"/>
      <c r="E462" s="277"/>
      <c r="F462" s="278"/>
      <c r="G462" s="277"/>
      <c r="H462" s="277"/>
      <c r="I462" s="277"/>
      <c r="J462" s="278"/>
      <c r="K462" s="277"/>
      <c r="L462" s="277"/>
      <c r="M462" s="277"/>
      <c r="S462" s="46"/>
      <c r="X462" s="6"/>
      <c r="AA462" s="7"/>
      <c r="AC462" s="3"/>
      <c r="AD462" s="3"/>
      <c r="AE462" s="3"/>
      <c r="AF462" s="3"/>
      <c r="AG462" s="44"/>
      <c r="AH462" s="44"/>
      <c r="AI462" s="44"/>
      <c r="AJ462" s="44"/>
      <c r="AL462" s="3"/>
      <c r="AN462" s="3"/>
      <c r="AO462" s="3"/>
      <c r="AP462" s="44"/>
      <c r="AQ462" s="44"/>
      <c r="AR462" s="44"/>
      <c r="AS462" s="44"/>
      <c r="AZ462" s="3"/>
    </row>
    <row r="463" ht="12.75" customHeight="1">
      <c r="A463" s="3"/>
      <c r="B463" s="277"/>
      <c r="C463" s="277"/>
      <c r="D463" s="277"/>
      <c r="E463" s="277"/>
      <c r="F463" s="278"/>
      <c r="G463" s="277"/>
      <c r="H463" s="277"/>
      <c r="I463" s="277"/>
      <c r="J463" s="278"/>
      <c r="K463" s="277"/>
      <c r="L463" s="277"/>
      <c r="M463" s="277"/>
      <c r="S463" s="46"/>
      <c r="X463" s="6"/>
      <c r="AA463" s="7"/>
      <c r="AC463" s="3"/>
      <c r="AD463" s="3"/>
      <c r="AE463" s="3"/>
      <c r="AF463" s="3"/>
      <c r="AG463" s="44"/>
      <c r="AH463" s="44"/>
      <c r="AI463" s="44"/>
      <c r="AJ463" s="44"/>
      <c r="AL463" s="3"/>
      <c r="AN463" s="3"/>
      <c r="AO463" s="3"/>
      <c r="AP463" s="44"/>
      <c r="AQ463" s="44"/>
      <c r="AR463" s="44"/>
      <c r="AS463" s="44"/>
      <c r="AZ463" s="3"/>
    </row>
    <row r="464" ht="12.75" customHeight="1">
      <c r="A464" s="3"/>
      <c r="B464" s="277"/>
      <c r="C464" s="277"/>
      <c r="D464" s="277"/>
      <c r="E464" s="277"/>
      <c r="F464" s="278"/>
      <c r="G464" s="277"/>
      <c r="H464" s="277"/>
      <c r="I464" s="277"/>
      <c r="J464" s="278"/>
      <c r="K464" s="277"/>
      <c r="L464" s="277"/>
      <c r="M464" s="277"/>
      <c r="S464" s="46"/>
      <c r="X464" s="6"/>
      <c r="AA464" s="7"/>
      <c r="AC464" s="3"/>
      <c r="AD464" s="3"/>
      <c r="AE464" s="3"/>
      <c r="AF464" s="3"/>
      <c r="AG464" s="44"/>
      <c r="AH464" s="44"/>
      <c r="AI464" s="44"/>
      <c r="AJ464" s="44"/>
      <c r="AL464" s="3"/>
      <c r="AN464" s="3"/>
      <c r="AO464" s="3"/>
      <c r="AP464" s="44"/>
      <c r="AQ464" s="44"/>
      <c r="AR464" s="44"/>
      <c r="AS464" s="44"/>
      <c r="AZ464" s="3"/>
    </row>
    <row r="465" ht="12.75" customHeight="1">
      <c r="A465" s="3"/>
      <c r="B465" s="277"/>
      <c r="C465" s="277"/>
      <c r="D465" s="277"/>
      <c r="E465" s="277"/>
      <c r="F465" s="278"/>
      <c r="G465" s="277"/>
      <c r="H465" s="277"/>
      <c r="I465" s="277"/>
      <c r="J465" s="278"/>
      <c r="K465" s="277"/>
      <c r="L465" s="277"/>
      <c r="M465" s="277"/>
      <c r="S465" s="46"/>
      <c r="X465" s="6"/>
      <c r="AA465" s="7"/>
      <c r="AC465" s="3"/>
      <c r="AD465" s="3"/>
      <c r="AE465" s="3"/>
      <c r="AF465" s="3"/>
      <c r="AG465" s="44"/>
      <c r="AH465" s="44"/>
      <c r="AI465" s="44"/>
      <c r="AJ465" s="44"/>
      <c r="AL465" s="3"/>
      <c r="AN465" s="3"/>
      <c r="AO465" s="3"/>
      <c r="AP465" s="44"/>
      <c r="AQ465" s="44"/>
      <c r="AR465" s="44"/>
      <c r="AS465" s="44"/>
      <c r="AZ465" s="3"/>
    </row>
    <row r="466" ht="12.75" customHeight="1">
      <c r="A466" s="3"/>
      <c r="F466" s="3"/>
      <c r="J466" s="4"/>
      <c r="S466" s="46"/>
      <c r="X466" s="6"/>
      <c r="AA466" s="7"/>
      <c r="AC466" s="3"/>
      <c r="AD466" s="3"/>
      <c r="AE466" s="3"/>
      <c r="AF466" s="3"/>
      <c r="AG466" s="44"/>
      <c r="AH466" s="44"/>
      <c r="AI466" s="44"/>
      <c r="AJ466" s="44"/>
      <c r="AL466" s="3"/>
      <c r="AN466" s="3"/>
      <c r="AO466" s="3"/>
      <c r="AP466" s="44"/>
      <c r="AQ466" s="44"/>
      <c r="AR466" s="44"/>
      <c r="AS466" s="44"/>
      <c r="AZ466" s="3"/>
    </row>
    <row r="467" ht="12.75" customHeight="1">
      <c r="A467" s="3"/>
      <c r="F467" s="3"/>
      <c r="J467" s="4"/>
      <c r="S467" s="46"/>
      <c r="X467" s="6"/>
      <c r="AA467" s="7"/>
      <c r="AC467" s="3"/>
      <c r="AD467" s="3"/>
      <c r="AE467" s="3"/>
      <c r="AF467" s="3"/>
      <c r="AG467" s="44"/>
      <c r="AH467" s="44"/>
      <c r="AI467" s="44"/>
      <c r="AJ467" s="44"/>
      <c r="AL467" s="3"/>
      <c r="AN467" s="3"/>
      <c r="AO467" s="3"/>
      <c r="AP467" s="44"/>
      <c r="AQ467" s="44"/>
      <c r="AR467" s="44"/>
      <c r="AS467" s="44"/>
      <c r="AZ467" s="3"/>
    </row>
    <row r="468" ht="12.75" customHeight="1">
      <c r="A468" s="3"/>
      <c r="F468" s="3"/>
      <c r="J468" s="4"/>
      <c r="S468" s="46"/>
      <c r="X468" s="6"/>
      <c r="AA468" s="7"/>
      <c r="AC468" s="3"/>
      <c r="AD468" s="3"/>
      <c r="AE468" s="3"/>
      <c r="AF468" s="3"/>
      <c r="AG468" s="44"/>
      <c r="AH468" s="44"/>
      <c r="AI468" s="44"/>
      <c r="AJ468" s="44"/>
      <c r="AL468" s="3"/>
      <c r="AN468" s="3"/>
      <c r="AO468" s="3"/>
      <c r="AP468" s="44"/>
      <c r="AQ468" s="44"/>
      <c r="AR468" s="44"/>
      <c r="AS468" s="44"/>
      <c r="AZ468" s="3"/>
    </row>
    <row r="469" ht="12.75" customHeight="1">
      <c r="A469" s="3"/>
      <c r="F469" s="3"/>
      <c r="J469" s="4"/>
      <c r="S469" s="46"/>
      <c r="X469" s="6"/>
      <c r="AA469" s="7"/>
      <c r="AC469" s="3"/>
      <c r="AD469" s="3"/>
      <c r="AE469" s="3"/>
      <c r="AF469" s="3"/>
      <c r="AG469" s="44"/>
      <c r="AH469" s="44"/>
      <c r="AI469" s="44"/>
      <c r="AJ469" s="44"/>
      <c r="AL469" s="3"/>
      <c r="AN469" s="3"/>
      <c r="AO469" s="3"/>
      <c r="AP469" s="44"/>
      <c r="AQ469" s="44"/>
      <c r="AR469" s="44"/>
      <c r="AS469" s="44"/>
      <c r="AZ469" s="3"/>
    </row>
    <row r="470" ht="12.75" customHeight="1">
      <c r="A470" s="3"/>
      <c r="F470" s="3"/>
      <c r="J470" s="4"/>
      <c r="S470" s="46"/>
      <c r="X470" s="6"/>
      <c r="AA470" s="7"/>
      <c r="AC470" s="3"/>
      <c r="AD470" s="3"/>
      <c r="AE470" s="3"/>
      <c r="AF470" s="3"/>
      <c r="AG470" s="44"/>
      <c r="AH470" s="44"/>
      <c r="AI470" s="44"/>
      <c r="AJ470" s="44"/>
      <c r="AL470" s="3"/>
      <c r="AN470" s="3"/>
      <c r="AO470" s="3"/>
      <c r="AP470" s="44"/>
      <c r="AQ470" s="44"/>
      <c r="AR470" s="44"/>
      <c r="AS470" s="44"/>
      <c r="AZ470" s="3"/>
    </row>
    <row r="471" ht="12.75" customHeight="1">
      <c r="A471" s="3"/>
      <c r="F471" s="3"/>
      <c r="J471" s="4"/>
      <c r="S471" s="46"/>
      <c r="X471" s="6"/>
      <c r="AA471" s="7"/>
      <c r="AC471" s="3"/>
      <c r="AD471" s="3"/>
      <c r="AE471" s="3"/>
      <c r="AF471" s="3"/>
      <c r="AG471" s="44"/>
      <c r="AH471" s="44"/>
      <c r="AI471" s="44"/>
      <c r="AJ471" s="44"/>
      <c r="AL471" s="3"/>
      <c r="AN471" s="3"/>
      <c r="AO471" s="3"/>
      <c r="AP471" s="44"/>
      <c r="AQ471" s="44"/>
      <c r="AR471" s="44"/>
      <c r="AS471" s="44"/>
      <c r="AZ471" s="3"/>
    </row>
    <row r="472" ht="12.75" customHeight="1">
      <c r="A472" s="3"/>
      <c r="F472" s="3"/>
      <c r="J472" s="4"/>
      <c r="S472" s="46"/>
      <c r="X472" s="6"/>
      <c r="AA472" s="7"/>
      <c r="AC472" s="3"/>
      <c r="AD472" s="3"/>
      <c r="AE472" s="3"/>
      <c r="AF472" s="3"/>
      <c r="AG472" s="44"/>
      <c r="AH472" s="44"/>
      <c r="AI472" s="44"/>
      <c r="AJ472" s="44"/>
      <c r="AL472" s="3"/>
      <c r="AN472" s="3"/>
      <c r="AO472" s="3"/>
      <c r="AP472" s="44"/>
      <c r="AQ472" s="44"/>
      <c r="AR472" s="44"/>
      <c r="AS472" s="44"/>
      <c r="AZ472" s="3"/>
    </row>
    <row r="473" ht="12.75" customHeight="1">
      <c r="A473" s="3"/>
      <c r="F473" s="3"/>
      <c r="J473" s="4"/>
      <c r="S473" s="46"/>
      <c r="X473" s="6"/>
      <c r="AA473" s="7"/>
      <c r="AC473" s="3"/>
      <c r="AD473" s="3"/>
      <c r="AE473" s="3"/>
      <c r="AF473" s="3"/>
      <c r="AG473" s="44"/>
      <c r="AH473" s="44"/>
      <c r="AI473" s="44"/>
      <c r="AJ473" s="44"/>
      <c r="AL473" s="3"/>
      <c r="AN473" s="3"/>
      <c r="AO473" s="3"/>
      <c r="AP473" s="44"/>
      <c r="AQ473" s="44"/>
      <c r="AR473" s="44"/>
      <c r="AS473" s="44"/>
      <c r="AZ473" s="3"/>
    </row>
    <row r="474" ht="12.75" customHeight="1">
      <c r="A474" s="3"/>
      <c r="F474" s="3"/>
      <c r="J474" s="4"/>
      <c r="S474" s="46"/>
      <c r="X474" s="6"/>
      <c r="AA474" s="7"/>
      <c r="AC474" s="3"/>
      <c r="AD474" s="3"/>
      <c r="AE474" s="3"/>
      <c r="AF474" s="3"/>
      <c r="AG474" s="44"/>
      <c r="AH474" s="44"/>
      <c r="AI474" s="44"/>
      <c r="AJ474" s="44"/>
      <c r="AL474" s="3"/>
      <c r="AN474" s="3"/>
      <c r="AO474" s="3"/>
      <c r="AP474" s="44"/>
      <c r="AQ474" s="44"/>
      <c r="AR474" s="44"/>
      <c r="AS474" s="44"/>
      <c r="AZ474" s="3"/>
    </row>
    <row r="475" ht="12.75" customHeight="1">
      <c r="A475" s="3"/>
      <c r="F475" s="3"/>
      <c r="J475" s="4"/>
      <c r="S475" s="46"/>
      <c r="X475" s="6"/>
      <c r="AA475" s="7"/>
      <c r="AC475" s="3"/>
      <c r="AD475" s="3"/>
      <c r="AE475" s="3"/>
      <c r="AF475" s="3"/>
      <c r="AG475" s="44"/>
      <c r="AH475" s="44"/>
      <c r="AI475" s="44"/>
      <c r="AJ475" s="44"/>
      <c r="AL475" s="3"/>
      <c r="AN475" s="3"/>
      <c r="AO475" s="3"/>
      <c r="AP475" s="44"/>
      <c r="AQ475" s="44"/>
      <c r="AR475" s="44"/>
      <c r="AS475" s="44"/>
      <c r="AZ475" s="3"/>
    </row>
    <row r="476" ht="12.75" customHeight="1">
      <c r="A476" s="3"/>
      <c r="F476" s="3"/>
      <c r="J476" s="4"/>
      <c r="S476" s="46"/>
      <c r="X476" s="6"/>
      <c r="AA476" s="7"/>
      <c r="AC476" s="3"/>
      <c r="AD476" s="3"/>
      <c r="AE476" s="3"/>
      <c r="AF476" s="3"/>
      <c r="AG476" s="44"/>
      <c r="AH476" s="44"/>
      <c r="AI476" s="44"/>
      <c r="AJ476" s="44"/>
      <c r="AL476" s="3"/>
      <c r="AN476" s="3"/>
      <c r="AO476" s="3"/>
      <c r="AP476" s="44"/>
      <c r="AQ476" s="44"/>
      <c r="AR476" s="44"/>
      <c r="AS476" s="44"/>
      <c r="AZ476" s="3"/>
    </row>
    <row r="477" ht="12.75" customHeight="1">
      <c r="A477" s="3"/>
      <c r="F477" s="3"/>
      <c r="J477" s="4"/>
      <c r="S477" s="46"/>
      <c r="X477" s="6"/>
      <c r="AA477" s="7"/>
      <c r="AC477" s="3"/>
      <c r="AD477" s="3"/>
      <c r="AE477" s="3"/>
      <c r="AF477" s="3"/>
      <c r="AG477" s="44"/>
      <c r="AH477" s="44"/>
      <c r="AI477" s="44"/>
      <c r="AJ477" s="44"/>
      <c r="AL477" s="3"/>
      <c r="AN477" s="3"/>
      <c r="AO477" s="3"/>
      <c r="AP477" s="44"/>
      <c r="AQ477" s="44"/>
      <c r="AR477" s="44"/>
      <c r="AS477" s="44"/>
      <c r="AZ477" s="3"/>
    </row>
    <row r="478" ht="12.75" customHeight="1">
      <c r="A478" s="3"/>
      <c r="F478" s="3"/>
      <c r="J478" s="4"/>
      <c r="S478" s="46"/>
      <c r="X478" s="6"/>
      <c r="AA478" s="7"/>
      <c r="AC478" s="3"/>
      <c r="AD478" s="3"/>
      <c r="AE478" s="3"/>
      <c r="AF478" s="3"/>
      <c r="AG478" s="44"/>
      <c r="AH478" s="44"/>
      <c r="AI478" s="44"/>
      <c r="AJ478" s="44"/>
      <c r="AL478" s="3"/>
      <c r="AN478" s="3"/>
      <c r="AO478" s="3"/>
      <c r="AP478" s="44"/>
      <c r="AQ478" s="44"/>
      <c r="AR478" s="44"/>
      <c r="AS478" s="44"/>
      <c r="AZ478" s="3"/>
    </row>
    <row r="479" ht="12.75" customHeight="1">
      <c r="A479" s="3"/>
      <c r="F479" s="3"/>
      <c r="J479" s="4"/>
      <c r="S479" s="46"/>
      <c r="X479" s="6"/>
      <c r="AA479" s="7"/>
      <c r="AC479" s="3"/>
      <c r="AD479" s="3"/>
      <c r="AE479" s="3"/>
      <c r="AF479" s="3"/>
      <c r="AG479" s="44"/>
      <c r="AH479" s="44"/>
      <c r="AI479" s="44"/>
      <c r="AJ479" s="44"/>
      <c r="AL479" s="3"/>
      <c r="AN479" s="3"/>
      <c r="AO479" s="3"/>
      <c r="AP479" s="44"/>
      <c r="AQ479" s="44"/>
      <c r="AR479" s="44"/>
      <c r="AS479" s="44"/>
      <c r="AZ479" s="3"/>
    </row>
    <row r="480" ht="12.75" customHeight="1">
      <c r="A480" s="3"/>
      <c r="F480" s="3"/>
      <c r="J480" s="4"/>
      <c r="S480" s="46"/>
      <c r="X480" s="6"/>
      <c r="AA480" s="7"/>
      <c r="AC480" s="3"/>
      <c r="AD480" s="3"/>
      <c r="AE480" s="3"/>
      <c r="AF480" s="3"/>
      <c r="AG480" s="44"/>
      <c r="AH480" s="44"/>
      <c r="AI480" s="44"/>
      <c r="AJ480" s="44"/>
      <c r="AL480" s="3"/>
      <c r="AN480" s="3"/>
      <c r="AO480" s="3"/>
      <c r="AP480" s="44"/>
      <c r="AQ480" s="44"/>
      <c r="AR480" s="44"/>
      <c r="AS480" s="44"/>
      <c r="AZ480" s="3"/>
    </row>
    <row r="481" ht="12.75" customHeight="1">
      <c r="A481" s="3"/>
      <c r="F481" s="3"/>
      <c r="J481" s="4"/>
      <c r="S481" s="46"/>
      <c r="X481" s="6"/>
      <c r="AA481" s="7"/>
      <c r="AC481" s="3"/>
      <c r="AD481" s="3"/>
      <c r="AE481" s="3"/>
      <c r="AF481" s="3"/>
      <c r="AG481" s="44"/>
      <c r="AH481" s="44"/>
      <c r="AI481" s="44"/>
      <c r="AJ481" s="44"/>
      <c r="AL481" s="3"/>
      <c r="AN481" s="3"/>
      <c r="AO481" s="3"/>
      <c r="AP481" s="44"/>
      <c r="AQ481" s="44"/>
      <c r="AR481" s="44"/>
      <c r="AS481" s="44"/>
      <c r="AZ481" s="3"/>
    </row>
    <row r="482" ht="12.75" customHeight="1">
      <c r="A482" s="3"/>
      <c r="F482" s="3"/>
      <c r="J482" s="4"/>
      <c r="S482" s="46"/>
      <c r="X482" s="6"/>
      <c r="AA482" s="7"/>
      <c r="AC482" s="3"/>
      <c r="AD482" s="3"/>
      <c r="AE482" s="3"/>
      <c r="AF482" s="3"/>
      <c r="AG482" s="44"/>
      <c r="AH482" s="44"/>
      <c r="AI482" s="44"/>
      <c r="AJ482" s="44"/>
      <c r="AL482" s="3"/>
      <c r="AN482" s="3"/>
      <c r="AO482" s="3"/>
      <c r="AP482" s="44"/>
      <c r="AQ482" s="44"/>
      <c r="AR482" s="44"/>
      <c r="AS482" s="44"/>
      <c r="AZ482" s="3"/>
    </row>
    <row r="483" ht="12.75" customHeight="1">
      <c r="A483" s="3"/>
      <c r="F483" s="3"/>
      <c r="J483" s="4"/>
      <c r="S483" s="46"/>
      <c r="X483" s="6"/>
      <c r="AA483" s="7"/>
      <c r="AC483" s="3"/>
      <c r="AD483" s="3"/>
      <c r="AE483" s="3"/>
      <c r="AF483" s="3"/>
      <c r="AG483" s="44"/>
      <c r="AH483" s="44"/>
      <c r="AI483" s="44"/>
      <c r="AJ483" s="44"/>
      <c r="AL483" s="3"/>
      <c r="AN483" s="3"/>
      <c r="AO483" s="3"/>
      <c r="AP483" s="44"/>
      <c r="AQ483" s="44"/>
      <c r="AR483" s="44"/>
      <c r="AS483" s="44"/>
      <c r="AZ483" s="3"/>
    </row>
    <row r="484" ht="12.75" customHeight="1">
      <c r="A484" s="3"/>
      <c r="F484" s="3"/>
      <c r="J484" s="4"/>
      <c r="S484" s="46"/>
      <c r="X484" s="6"/>
      <c r="AA484" s="7"/>
      <c r="AC484" s="3"/>
      <c r="AD484" s="3"/>
      <c r="AE484" s="3"/>
      <c r="AF484" s="3"/>
      <c r="AG484" s="44"/>
      <c r="AH484" s="44"/>
      <c r="AI484" s="44"/>
      <c r="AJ484" s="44"/>
      <c r="AL484" s="3"/>
      <c r="AN484" s="3"/>
      <c r="AO484" s="3"/>
      <c r="AP484" s="44"/>
      <c r="AQ484" s="44"/>
      <c r="AR484" s="44"/>
      <c r="AS484" s="44"/>
      <c r="AZ484" s="3"/>
    </row>
    <row r="485" ht="12.75" customHeight="1">
      <c r="A485" s="3"/>
      <c r="F485" s="3"/>
      <c r="J485" s="4"/>
      <c r="S485" s="46"/>
      <c r="X485" s="6"/>
      <c r="AA485" s="7"/>
      <c r="AC485" s="3"/>
      <c r="AD485" s="3"/>
      <c r="AE485" s="3"/>
      <c r="AF485" s="3"/>
      <c r="AG485" s="44"/>
      <c r="AH485" s="44"/>
      <c r="AI485" s="44"/>
      <c r="AJ485" s="44"/>
      <c r="AL485" s="3"/>
      <c r="AN485" s="3"/>
      <c r="AO485" s="3"/>
      <c r="AP485" s="44"/>
      <c r="AQ485" s="44"/>
      <c r="AR485" s="44"/>
      <c r="AS485" s="44"/>
      <c r="AZ485" s="3"/>
    </row>
    <row r="486" ht="12.75" customHeight="1">
      <c r="A486" s="3"/>
      <c r="F486" s="3"/>
      <c r="J486" s="4"/>
      <c r="S486" s="46"/>
      <c r="X486" s="6"/>
      <c r="AA486" s="7"/>
      <c r="AC486" s="3"/>
      <c r="AD486" s="3"/>
      <c r="AE486" s="3"/>
      <c r="AF486" s="3"/>
      <c r="AG486" s="44"/>
      <c r="AH486" s="44"/>
      <c r="AI486" s="44"/>
      <c r="AJ486" s="44"/>
      <c r="AL486" s="3"/>
      <c r="AN486" s="3"/>
      <c r="AO486" s="3"/>
      <c r="AP486" s="44"/>
      <c r="AQ486" s="44"/>
      <c r="AR486" s="44"/>
      <c r="AS486" s="44"/>
      <c r="AZ486" s="3"/>
    </row>
    <row r="487" ht="12.75" customHeight="1">
      <c r="A487" s="3"/>
      <c r="F487" s="3"/>
      <c r="J487" s="4"/>
      <c r="S487" s="46"/>
      <c r="X487" s="6"/>
      <c r="AA487" s="7"/>
      <c r="AC487" s="3"/>
      <c r="AD487" s="3"/>
      <c r="AE487" s="3"/>
      <c r="AF487" s="3"/>
      <c r="AG487" s="44"/>
      <c r="AH487" s="44"/>
      <c r="AI487" s="44"/>
      <c r="AJ487" s="44"/>
      <c r="AL487" s="3"/>
      <c r="AN487" s="3"/>
      <c r="AO487" s="3"/>
      <c r="AP487" s="44"/>
      <c r="AQ487" s="44"/>
      <c r="AR487" s="44"/>
      <c r="AS487" s="44"/>
      <c r="AZ487" s="3"/>
    </row>
    <row r="488" ht="12.75" customHeight="1">
      <c r="A488" s="3"/>
      <c r="F488" s="3"/>
      <c r="J488" s="4"/>
      <c r="S488" s="46"/>
      <c r="X488" s="6"/>
      <c r="AA488" s="7"/>
      <c r="AC488" s="3"/>
      <c r="AD488" s="3"/>
      <c r="AE488" s="3"/>
      <c r="AF488" s="3"/>
      <c r="AG488" s="44"/>
      <c r="AH488" s="44"/>
      <c r="AI488" s="44"/>
      <c r="AJ488" s="44"/>
      <c r="AL488" s="3"/>
      <c r="AN488" s="3"/>
      <c r="AO488" s="3"/>
      <c r="AP488" s="44"/>
      <c r="AQ488" s="44"/>
      <c r="AR488" s="44"/>
      <c r="AS488" s="44"/>
      <c r="AZ488" s="3"/>
    </row>
    <row r="489" ht="12.75" customHeight="1">
      <c r="A489" s="3"/>
      <c r="F489" s="3"/>
      <c r="J489" s="4"/>
      <c r="S489" s="46"/>
      <c r="X489" s="6"/>
      <c r="AA489" s="7"/>
      <c r="AC489" s="3"/>
      <c r="AD489" s="3"/>
      <c r="AE489" s="3"/>
      <c r="AF489" s="3"/>
      <c r="AG489" s="44"/>
      <c r="AH489" s="44"/>
      <c r="AI489" s="44"/>
      <c r="AJ489" s="44"/>
      <c r="AL489" s="3"/>
      <c r="AN489" s="3"/>
      <c r="AO489" s="3"/>
      <c r="AP489" s="44"/>
      <c r="AQ489" s="44"/>
      <c r="AR489" s="44"/>
      <c r="AS489" s="44"/>
      <c r="AZ489" s="3"/>
    </row>
    <row r="490" ht="12.75" customHeight="1">
      <c r="A490" s="3"/>
      <c r="F490" s="3"/>
      <c r="J490" s="4"/>
      <c r="S490" s="46"/>
      <c r="X490" s="6"/>
      <c r="AA490" s="7"/>
      <c r="AC490" s="3"/>
      <c r="AD490" s="3"/>
      <c r="AE490" s="3"/>
      <c r="AF490" s="3"/>
      <c r="AG490" s="44"/>
      <c r="AH490" s="44"/>
      <c r="AI490" s="44"/>
      <c r="AJ490" s="44"/>
      <c r="AL490" s="3"/>
      <c r="AN490" s="3"/>
      <c r="AO490" s="3"/>
      <c r="AP490" s="44"/>
      <c r="AQ490" s="44"/>
      <c r="AR490" s="44"/>
      <c r="AS490" s="44"/>
      <c r="AZ490" s="3"/>
    </row>
    <row r="491" ht="12.75" customHeight="1">
      <c r="A491" s="3"/>
      <c r="F491" s="3"/>
      <c r="J491" s="4"/>
      <c r="S491" s="46"/>
      <c r="X491" s="6"/>
      <c r="AA491" s="7"/>
      <c r="AC491" s="3"/>
      <c r="AD491" s="3"/>
      <c r="AE491" s="3"/>
      <c r="AF491" s="3"/>
      <c r="AG491" s="44"/>
      <c r="AH491" s="44"/>
      <c r="AI491" s="44"/>
      <c r="AJ491" s="44"/>
      <c r="AL491" s="3"/>
      <c r="AN491" s="3"/>
      <c r="AO491" s="3"/>
      <c r="AP491" s="44"/>
      <c r="AQ491" s="44"/>
      <c r="AR491" s="44"/>
      <c r="AS491" s="44"/>
      <c r="AZ491" s="3"/>
    </row>
    <row r="492" ht="12.75" customHeight="1">
      <c r="A492" s="3"/>
      <c r="F492" s="3"/>
      <c r="J492" s="4"/>
      <c r="S492" s="46"/>
      <c r="X492" s="6"/>
      <c r="AA492" s="7"/>
      <c r="AC492" s="3"/>
      <c r="AD492" s="3"/>
      <c r="AE492" s="3"/>
      <c r="AF492" s="3"/>
      <c r="AG492" s="44"/>
      <c r="AH492" s="44"/>
      <c r="AI492" s="44"/>
      <c r="AJ492" s="44"/>
      <c r="AL492" s="3"/>
      <c r="AN492" s="3"/>
      <c r="AO492" s="3"/>
      <c r="AP492" s="44"/>
      <c r="AQ492" s="44"/>
      <c r="AR492" s="44"/>
      <c r="AS492" s="44"/>
      <c r="AZ492" s="3"/>
    </row>
    <row r="493" ht="12.75" customHeight="1">
      <c r="A493" s="3"/>
      <c r="F493" s="3"/>
      <c r="J493" s="4"/>
      <c r="S493" s="46"/>
      <c r="X493" s="6"/>
      <c r="AA493" s="7"/>
      <c r="AC493" s="3"/>
      <c r="AD493" s="3"/>
      <c r="AE493" s="3"/>
      <c r="AF493" s="3"/>
      <c r="AG493" s="44"/>
      <c r="AH493" s="44"/>
      <c r="AI493" s="44"/>
      <c r="AJ493" s="44"/>
      <c r="AL493" s="3"/>
      <c r="AN493" s="3"/>
      <c r="AO493" s="3"/>
      <c r="AP493" s="44"/>
      <c r="AQ493" s="44"/>
      <c r="AR493" s="44"/>
      <c r="AS493" s="44"/>
      <c r="AZ493" s="3"/>
    </row>
    <row r="494" ht="12.75" customHeight="1">
      <c r="A494" s="3"/>
      <c r="F494" s="3"/>
      <c r="J494" s="4"/>
      <c r="S494" s="46"/>
      <c r="X494" s="6"/>
      <c r="AA494" s="7"/>
      <c r="AC494" s="3"/>
      <c r="AD494" s="3"/>
      <c r="AE494" s="3"/>
      <c r="AF494" s="3"/>
      <c r="AG494" s="44"/>
      <c r="AH494" s="44"/>
      <c r="AI494" s="44"/>
      <c r="AJ494" s="44"/>
      <c r="AL494" s="3"/>
      <c r="AN494" s="3"/>
      <c r="AO494" s="3"/>
      <c r="AP494" s="44"/>
      <c r="AQ494" s="44"/>
      <c r="AR494" s="44"/>
      <c r="AS494" s="44"/>
      <c r="AZ494" s="3"/>
    </row>
    <row r="495" ht="12.75" customHeight="1">
      <c r="A495" s="3"/>
      <c r="F495" s="3"/>
      <c r="J495" s="4"/>
      <c r="S495" s="46"/>
      <c r="X495" s="6"/>
      <c r="AA495" s="7"/>
      <c r="AC495" s="3"/>
      <c r="AD495" s="3"/>
      <c r="AE495" s="3"/>
      <c r="AF495" s="3"/>
      <c r="AG495" s="44"/>
      <c r="AH495" s="44"/>
      <c r="AI495" s="44"/>
      <c r="AJ495" s="44"/>
      <c r="AL495" s="3"/>
      <c r="AN495" s="3"/>
      <c r="AO495" s="3"/>
      <c r="AP495" s="44"/>
      <c r="AQ495" s="44"/>
      <c r="AR495" s="44"/>
      <c r="AS495" s="44"/>
      <c r="AZ495" s="3"/>
    </row>
    <row r="496" ht="12.75" customHeight="1">
      <c r="A496" s="3"/>
      <c r="F496" s="3"/>
      <c r="J496" s="4"/>
      <c r="S496" s="5"/>
      <c r="X496" s="6"/>
      <c r="AA496" s="7"/>
      <c r="AC496" s="3"/>
      <c r="AD496" s="3"/>
      <c r="AE496" s="3"/>
      <c r="AF496" s="3"/>
      <c r="AG496" s="44"/>
      <c r="AH496" s="44"/>
      <c r="AI496" s="44"/>
      <c r="AJ496" s="44"/>
      <c r="AL496" s="3"/>
      <c r="AN496" s="3"/>
      <c r="AO496" s="3"/>
      <c r="AP496" s="44"/>
      <c r="AQ496" s="44"/>
      <c r="AR496" s="44"/>
      <c r="AS496" s="44"/>
      <c r="AZ496" s="3"/>
    </row>
    <row r="497" ht="12.75" customHeight="1">
      <c r="A497" s="3"/>
      <c r="F497" s="3"/>
      <c r="J497" s="4"/>
      <c r="S497" s="46"/>
      <c r="X497" s="6"/>
      <c r="AA497" s="7"/>
      <c r="AC497" s="3"/>
      <c r="AD497" s="3"/>
      <c r="AE497" s="3"/>
      <c r="AF497" s="3"/>
      <c r="AG497" s="44"/>
      <c r="AH497" s="44"/>
      <c r="AI497" s="44"/>
      <c r="AJ497" s="44"/>
      <c r="AL497" s="3"/>
      <c r="AN497" s="3"/>
      <c r="AO497" s="3"/>
      <c r="AP497" s="44"/>
      <c r="AQ497" s="44"/>
      <c r="AR497" s="44"/>
      <c r="AS497" s="44"/>
      <c r="AZ497" s="3"/>
    </row>
    <row r="498" ht="12.75" customHeight="1">
      <c r="A498" s="3"/>
      <c r="F498" s="3"/>
      <c r="J498" s="4"/>
      <c r="S498" s="5"/>
      <c r="T498" s="5"/>
      <c r="U498" s="5"/>
      <c r="V498" s="5"/>
      <c r="W498" s="5"/>
      <c r="X498" s="3"/>
      <c r="Y498" s="5"/>
      <c r="Z498" s="5"/>
      <c r="AA498" s="279"/>
      <c r="AB498" s="5"/>
      <c r="AC498" s="3"/>
      <c r="AD498" s="3"/>
      <c r="AE498" s="3"/>
      <c r="AF498" s="3"/>
      <c r="AG498" s="44"/>
      <c r="AH498" s="44"/>
      <c r="AI498" s="44"/>
      <c r="AJ498" s="44"/>
      <c r="AL498" s="3"/>
      <c r="AN498" s="3"/>
      <c r="AO498" s="3"/>
      <c r="AP498" s="44"/>
      <c r="AQ498" s="44"/>
      <c r="AR498" s="44"/>
      <c r="AS498" s="44"/>
      <c r="AZ498" s="3"/>
    </row>
    <row r="499" ht="12.75" customHeight="1">
      <c r="A499" s="3"/>
      <c r="F499" s="3"/>
      <c r="J499" s="4"/>
      <c r="S499" s="46"/>
      <c r="X499" s="6"/>
      <c r="AA499" s="7"/>
      <c r="AC499" s="3"/>
      <c r="AD499" s="3"/>
      <c r="AE499" s="3"/>
      <c r="AF499" s="3"/>
      <c r="AG499" s="44"/>
      <c r="AH499" s="44"/>
      <c r="AI499" s="44"/>
      <c r="AJ499" s="44"/>
      <c r="AL499" s="3"/>
      <c r="AN499" s="3"/>
      <c r="AO499" s="3"/>
      <c r="AP499" s="44"/>
      <c r="AQ499" s="44"/>
      <c r="AR499" s="44"/>
      <c r="AS499" s="44"/>
      <c r="AZ499" s="3"/>
    </row>
    <row r="500" ht="12.75" customHeight="1">
      <c r="A500" s="3"/>
      <c r="F500" s="3"/>
      <c r="J500" s="4"/>
      <c r="S500" s="46"/>
      <c r="T500" s="5"/>
      <c r="U500" s="5"/>
      <c r="V500" s="5"/>
      <c r="W500" s="5"/>
      <c r="X500" s="3"/>
      <c r="Y500" s="5"/>
      <c r="Z500" s="5"/>
      <c r="AA500" s="279"/>
      <c r="AB500" s="5"/>
      <c r="AC500" s="3"/>
      <c r="AD500" s="3"/>
      <c r="AE500" s="3"/>
      <c r="AF500" s="3"/>
      <c r="AG500" s="44"/>
      <c r="AH500" s="44"/>
      <c r="AI500" s="44"/>
      <c r="AJ500" s="44"/>
      <c r="AL500" s="3"/>
      <c r="AN500" s="3"/>
      <c r="AO500" s="3"/>
      <c r="AP500" s="44"/>
      <c r="AQ500" s="44"/>
      <c r="AR500" s="44"/>
      <c r="AS500" s="44"/>
      <c r="AZ500" s="3"/>
    </row>
    <row r="501" ht="12.0" customHeight="1">
      <c r="A501" s="3"/>
      <c r="F501" s="3"/>
      <c r="J501" s="4"/>
      <c r="S501" s="46"/>
      <c r="X501" s="6"/>
      <c r="AA501" s="7"/>
      <c r="AC501" s="3"/>
      <c r="AD501" s="3"/>
      <c r="AE501" s="3"/>
      <c r="AF501" s="3"/>
      <c r="AG501" s="44"/>
      <c r="AH501" s="44"/>
      <c r="AI501" s="44"/>
      <c r="AJ501" s="44"/>
      <c r="AL501" s="3"/>
      <c r="AN501" s="3"/>
      <c r="AO501" s="3"/>
      <c r="AP501" s="44"/>
      <c r="AQ501" s="44"/>
      <c r="AR501" s="44"/>
      <c r="AS501" s="44"/>
      <c r="AZ501" s="3"/>
    </row>
    <row r="502" ht="12.75" customHeight="1">
      <c r="A502" s="3"/>
      <c r="F502" s="3"/>
      <c r="J502" s="4"/>
      <c r="S502" s="3"/>
      <c r="X502" s="6"/>
      <c r="AA502" s="7"/>
      <c r="AC502" s="3"/>
      <c r="AD502" s="3"/>
      <c r="AE502" s="3"/>
      <c r="AF502" s="3"/>
      <c r="AG502" s="44"/>
      <c r="AH502" s="44"/>
      <c r="AI502" s="44"/>
      <c r="AJ502" s="44"/>
      <c r="AL502" s="3"/>
      <c r="AN502" s="3"/>
      <c r="AO502" s="3"/>
      <c r="AP502" s="44"/>
      <c r="AQ502" s="44"/>
      <c r="AR502" s="44"/>
      <c r="AS502" s="44"/>
      <c r="AZ502" s="3"/>
    </row>
    <row r="503" ht="12.75" customHeight="1">
      <c r="A503" s="3"/>
      <c r="F503" s="3"/>
      <c r="J503" s="4"/>
      <c r="S503" s="272"/>
      <c r="X503" s="6"/>
      <c r="AA503" s="7"/>
      <c r="AC503" s="3"/>
      <c r="AD503" s="3"/>
      <c r="AE503" s="3"/>
      <c r="AF503" s="3"/>
      <c r="AG503" s="44"/>
      <c r="AH503" s="44"/>
      <c r="AI503" s="44"/>
      <c r="AJ503" s="44"/>
      <c r="AL503" s="3"/>
      <c r="AN503" s="3"/>
      <c r="AO503" s="3"/>
      <c r="AP503" s="44"/>
      <c r="AQ503" s="44"/>
      <c r="AR503" s="44"/>
      <c r="AS503" s="44"/>
      <c r="AZ503" s="3"/>
    </row>
    <row r="504" ht="12.75" customHeight="1">
      <c r="A504" s="3"/>
      <c r="F504" s="3"/>
      <c r="J504" s="4"/>
      <c r="S504" s="272"/>
      <c r="X504" s="6"/>
      <c r="AA504" s="7"/>
      <c r="AC504" s="3"/>
      <c r="AD504" s="3"/>
      <c r="AE504" s="3"/>
      <c r="AF504" s="3"/>
      <c r="AG504" s="44"/>
      <c r="AH504" s="44"/>
      <c r="AI504" s="44"/>
      <c r="AJ504" s="44"/>
      <c r="AL504" s="3"/>
      <c r="AN504" s="3"/>
      <c r="AO504" s="3"/>
      <c r="AP504" s="44"/>
      <c r="AQ504" s="44"/>
      <c r="AR504" s="44"/>
      <c r="AS504" s="44"/>
      <c r="AZ504" s="3"/>
    </row>
    <row r="505" ht="12.75" customHeight="1">
      <c r="A505" s="3"/>
      <c r="F505" s="3"/>
      <c r="J505" s="4"/>
      <c r="S505" s="272"/>
      <c r="X505" s="6"/>
      <c r="AA505" s="7"/>
      <c r="AC505" s="3"/>
      <c r="AD505" s="3"/>
      <c r="AE505" s="3"/>
      <c r="AF505" s="3"/>
      <c r="AG505" s="44"/>
      <c r="AH505" s="44"/>
      <c r="AI505" s="44"/>
      <c r="AJ505" s="44"/>
      <c r="AL505" s="3"/>
      <c r="AN505" s="3"/>
      <c r="AO505" s="3"/>
      <c r="AP505" s="44"/>
      <c r="AQ505" s="44"/>
      <c r="AR505" s="44"/>
      <c r="AS505" s="44"/>
      <c r="AZ505" s="3"/>
    </row>
    <row r="506" ht="12.75" customHeight="1">
      <c r="A506" s="3"/>
      <c r="F506" s="3"/>
      <c r="J506" s="4"/>
      <c r="S506" s="272"/>
      <c r="X506" s="6"/>
      <c r="AA506" s="7"/>
      <c r="AC506" s="3"/>
      <c r="AD506" s="3"/>
      <c r="AE506" s="3"/>
      <c r="AF506" s="3"/>
      <c r="AG506" s="44"/>
      <c r="AH506" s="44"/>
      <c r="AI506" s="44"/>
      <c r="AJ506" s="44"/>
      <c r="AL506" s="3"/>
      <c r="AN506" s="3"/>
      <c r="AO506" s="3"/>
      <c r="AP506" s="44"/>
      <c r="AQ506" s="44"/>
      <c r="AR506" s="44"/>
      <c r="AS506" s="44"/>
      <c r="AZ506" s="3"/>
    </row>
    <row r="507" ht="12.75" customHeight="1">
      <c r="A507" s="3"/>
      <c r="F507" s="3"/>
      <c r="J507" s="4"/>
      <c r="S507" s="272"/>
      <c r="X507" s="6"/>
      <c r="AA507" s="7"/>
      <c r="AC507" s="3"/>
      <c r="AD507" s="3"/>
      <c r="AE507" s="3"/>
      <c r="AF507" s="3"/>
      <c r="AG507" s="44"/>
      <c r="AH507" s="44"/>
      <c r="AI507" s="44"/>
      <c r="AJ507" s="44"/>
      <c r="AL507" s="3"/>
      <c r="AN507" s="3"/>
      <c r="AO507" s="3"/>
      <c r="AP507" s="44"/>
      <c r="AQ507" s="44"/>
      <c r="AR507" s="44"/>
      <c r="AS507" s="44"/>
      <c r="AZ507" s="3"/>
    </row>
    <row r="508" ht="12.75" customHeight="1">
      <c r="A508" s="3"/>
      <c r="F508" s="3"/>
      <c r="J508" s="4"/>
      <c r="X508" s="6"/>
      <c r="AA508" s="7"/>
      <c r="AC508" s="3"/>
      <c r="AD508" s="3"/>
      <c r="AE508" s="3"/>
      <c r="AF508" s="3"/>
      <c r="AG508" s="44"/>
      <c r="AH508" s="44"/>
      <c r="AI508" s="44"/>
      <c r="AJ508" s="44"/>
      <c r="AL508" s="3"/>
      <c r="AN508" s="3"/>
      <c r="AO508" s="3"/>
      <c r="AP508" s="44"/>
      <c r="AQ508" s="44"/>
      <c r="AR508" s="44"/>
      <c r="AS508" s="44"/>
      <c r="AZ508" s="3"/>
    </row>
    <row r="509" ht="12.75" customHeight="1">
      <c r="A509" s="3"/>
      <c r="F509" s="3"/>
      <c r="J509" s="4"/>
      <c r="X509" s="6"/>
      <c r="AA509" s="7"/>
      <c r="AC509" s="3"/>
      <c r="AD509" s="3"/>
      <c r="AE509" s="3"/>
      <c r="AF509" s="3"/>
      <c r="AG509" s="44"/>
      <c r="AH509" s="44"/>
      <c r="AI509" s="44"/>
      <c r="AJ509" s="44"/>
      <c r="AL509" s="3"/>
      <c r="AN509" s="3"/>
      <c r="AO509" s="3"/>
      <c r="AP509" s="44"/>
      <c r="AQ509" s="44"/>
      <c r="AR509" s="44"/>
      <c r="AS509" s="44"/>
      <c r="AZ509" s="3"/>
    </row>
    <row r="510" ht="12.75" customHeight="1">
      <c r="A510" s="3"/>
      <c r="F510" s="3"/>
      <c r="J510" s="4"/>
      <c r="X510" s="6"/>
      <c r="AA510" s="7"/>
      <c r="AC510" s="3"/>
      <c r="AD510" s="3"/>
      <c r="AE510" s="3"/>
      <c r="AF510" s="3"/>
      <c r="AG510" s="44"/>
      <c r="AH510" s="44"/>
      <c r="AI510" s="44"/>
      <c r="AJ510" s="44"/>
      <c r="AL510" s="3"/>
      <c r="AN510" s="3"/>
      <c r="AO510" s="3"/>
      <c r="AP510" s="44"/>
      <c r="AQ510" s="44"/>
      <c r="AR510" s="44"/>
      <c r="AS510" s="44"/>
      <c r="AZ510" s="3"/>
    </row>
    <row r="511" ht="12.75" customHeight="1">
      <c r="A511" s="3"/>
      <c r="F511" s="3"/>
      <c r="J511" s="4"/>
      <c r="X511" s="6"/>
      <c r="AA511" s="7"/>
      <c r="AC511" s="3"/>
      <c r="AD511" s="3"/>
      <c r="AE511" s="3"/>
      <c r="AF511" s="3"/>
      <c r="AG511" s="44"/>
      <c r="AH511" s="44"/>
      <c r="AI511" s="44"/>
      <c r="AJ511" s="44"/>
      <c r="AL511" s="3"/>
      <c r="AN511" s="3"/>
      <c r="AO511" s="3"/>
      <c r="AP511" s="44"/>
      <c r="AQ511" s="44"/>
      <c r="AR511" s="44"/>
      <c r="AS511" s="44"/>
      <c r="AZ511" s="3"/>
    </row>
    <row r="512" ht="12.75" customHeight="1">
      <c r="A512" s="3"/>
      <c r="F512" s="3"/>
      <c r="J512" s="4"/>
      <c r="X512" s="6"/>
      <c r="AA512" s="7"/>
      <c r="AC512" s="3"/>
      <c r="AD512" s="3"/>
      <c r="AE512" s="3"/>
      <c r="AF512" s="3"/>
      <c r="AG512" s="44"/>
      <c r="AH512" s="44"/>
      <c r="AI512" s="44"/>
      <c r="AJ512" s="44"/>
      <c r="AL512" s="3"/>
      <c r="AN512" s="3"/>
      <c r="AO512" s="3"/>
      <c r="AP512" s="44"/>
      <c r="AQ512" s="44"/>
      <c r="AR512" s="44"/>
      <c r="AS512" s="44"/>
      <c r="AZ512" s="3"/>
    </row>
    <row r="513" ht="12.75" customHeight="1">
      <c r="A513" s="3"/>
      <c r="F513" s="3"/>
      <c r="J513" s="4"/>
      <c r="X513" s="6"/>
      <c r="AA513" s="7"/>
      <c r="AC513" s="3"/>
      <c r="AD513" s="3"/>
      <c r="AE513" s="3"/>
      <c r="AF513" s="3"/>
      <c r="AG513" s="44"/>
      <c r="AH513" s="44"/>
      <c r="AI513" s="44"/>
      <c r="AJ513" s="44"/>
      <c r="AL513" s="3"/>
      <c r="AN513" s="3"/>
      <c r="AO513" s="3"/>
      <c r="AP513" s="44"/>
      <c r="AQ513" s="44"/>
      <c r="AR513" s="44"/>
      <c r="AS513" s="44"/>
      <c r="AZ513" s="3"/>
    </row>
    <row r="514" ht="12.75" customHeight="1">
      <c r="A514" s="3"/>
      <c r="F514" s="3"/>
      <c r="J514" s="4"/>
      <c r="X514" s="6"/>
      <c r="AA514" s="7"/>
      <c r="AC514" s="3"/>
      <c r="AD514" s="3"/>
      <c r="AE514" s="3"/>
      <c r="AF514" s="3"/>
      <c r="AG514" s="44"/>
      <c r="AH514" s="44"/>
      <c r="AI514" s="44"/>
      <c r="AJ514" s="44"/>
      <c r="AL514" s="3"/>
      <c r="AN514" s="3"/>
      <c r="AO514" s="3"/>
      <c r="AP514" s="44"/>
      <c r="AQ514" s="44"/>
      <c r="AR514" s="44"/>
      <c r="AS514" s="44"/>
      <c r="AZ514" s="3"/>
    </row>
    <row r="515" ht="12.75" customHeight="1">
      <c r="A515" s="3"/>
      <c r="F515" s="3"/>
      <c r="J515" s="4"/>
      <c r="X515" s="6"/>
      <c r="AA515" s="7"/>
      <c r="AC515" s="3"/>
      <c r="AD515" s="3"/>
      <c r="AE515" s="3"/>
      <c r="AF515" s="3"/>
      <c r="AG515" s="44"/>
      <c r="AH515" s="44"/>
      <c r="AI515" s="44"/>
      <c r="AJ515" s="44"/>
      <c r="AL515" s="3"/>
      <c r="AN515" s="3"/>
      <c r="AO515" s="3"/>
      <c r="AP515" s="44"/>
      <c r="AQ515" s="44"/>
      <c r="AR515" s="44"/>
      <c r="AS515" s="44"/>
      <c r="AZ515" s="3"/>
    </row>
    <row r="516" ht="12.75" customHeight="1">
      <c r="A516" s="3"/>
      <c r="F516" s="3"/>
      <c r="J516" s="4"/>
      <c r="X516" s="6"/>
      <c r="AA516" s="7"/>
      <c r="AC516" s="3"/>
      <c r="AD516" s="3"/>
      <c r="AE516" s="3"/>
      <c r="AF516" s="3"/>
      <c r="AG516" s="44"/>
      <c r="AH516" s="44"/>
      <c r="AI516" s="44"/>
      <c r="AJ516" s="44"/>
      <c r="AL516" s="3"/>
      <c r="AN516" s="3"/>
      <c r="AO516" s="3"/>
      <c r="AP516" s="44"/>
      <c r="AQ516" s="44"/>
      <c r="AR516" s="44"/>
      <c r="AS516" s="44"/>
      <c r="AZ516" s="3"/>
    </row>
    <row r="517" ht="12.75" customHeight="1">
      <c r="A517" s="3"/>
      <c r="F517" s="3"/>
      <c r="J517" s="4"/>
      <c r="X517" s="6"/>
      <c r="AA517" s="7"/>
      <c r="AC517" s="3"/>
      <c r="AD517" s="3"/>
      <c r="AE517" s="3"/>
      <c r="AF517" s="3"/>
      <c r="AG517" s="44"/>
      <c r="AH517" s="44"/>
      <c r="AI517" s="44"/>
      <c r="AJ517" s="44"/>
      <c r="AL517" s="3"/>
      <c r="AN517" s="3"/>
      <c r="AO517" s="3"/>
      <c r="AP517" s="44"/>
      <c r="AQ517" s="44"/>
      <c r="AR517" s="44"/>
      <c r="AS517" s="44"/>
      <c r="AZ517" s="3"/>
    </row>
    <row r="518" ht="12.75" customHeight="1">
      <c r="A518" s="3"/>
      <c r="F518" s="3"/>
      <c r="J518" s="4"/>
      <c r="X518" s="6"/>
      <c r="AA518" s="7"/>
      <c r="AC518" s="3"/>
      <c r="AD518" s="3"/>
      <c r="AE518" s="3"/>
      <c r="AF518" s="3"/>
      <c r="AG518" s="44"/>
      <c r="AH518" s="44"/>
      <c r="AI518" s="44"/>
      <c r="AJ518" s="44"/>
      <c r="AL518" s="3"/>
      <c r="AN518" s="3"/>
      <c r="AO518" s="3"/>
      <c r="AP518" s="44"/>
      <c r="AQ518" s="44"/>
      <c r="AR518" s="44"/>
      <c r="AS518" s="44"/>
      <c r="AZ518" s="3"/>
    </row>
    <row r="519" ht="12.75" customHeight="1">
      <c r="A519" s="3"/>
      <c r="F519" s="3"/>
      <c r="J519" s="4"/>
      <c r="X519" s="6"/>
      <c r="AA519" s="7"/>
      <c r="AC519" s="3"/>
      <c r="AD519" s="3"/>
      <c r="AE519" s="3"/>
      <c r="AF519" s="3"/>
      <c r="AG519" s="44"/>
      <c r="AH519" s="44"/>
      <c r="AI519" s="44"/>
      <c r="AJ519" s="44"/>
      <c r="AL519" s="3"/>
      <c r="AN519" s="3"/>
      <c r="AO519" s="3"/>
      <c r="AP519" s="44"/>
      <c r="AQ519" s="44"/>
      <c r="AR519" s="44"/>
      <c r="AS519" s="44"/>
      <c r="AZ519" s="3"/>
    </row>
    <row r="520" ht="12.75" customHeight="1">
      <c r="A520" s="3"/>
      <c r="F520" s="3"/>
      <c r="J520" s="4"/>
      <c r="X520" s="6"/>
      <c r="AA520" s="7"/>
      <c r="AC520" s="3"/>
      <c r="AD520" s="3"/>
      <c r="AE520" s="3"/>
      <c r="AF520" s="3"/>
      <c r="AG520" s="44"/>
      <c r="AH520" s="44"/>
      <c r="AI520" s="44"/>
      <c r="AJ520" s="44"/>
      <c r="AL520" s="3"/>
      <c r="AN520" s="3"/>
      <c r="AO520" s="3"/>
      <c r="AP520" s="44"/>
      <c r="AQ520" s="44"/>
      <c r="AR520" s="44"/>
      <c r="AS520" s="44"/>
      <c r="AZ520" s="3"/>
    </row>
    <row r="521" ht="12.75" customHeight="1">
      <c r="A521" s="3"/>
      <c r="F521" s="3"/>
      <c r="J521" s="4"/>
      <c r="X521" s="6"/>
      <c r="AA521" s="7"/>
      <c r="AC521" s="3"/>
      <c r="AD521" s="3"/>
      <c r="AE521" s="3"/>
      <c r="AF521" s="3"/>
      <c r="AG521" s="44"/>
      <c r="AH521" s="44"/>
      <c r="AI521" s="44"/>
      <c r="AJ521" s="44"/>
      <c r="AL521" s="3"/>
      <c r="AN521" s="3"/>
      <c r="AO521" s="3"/>
      <c r="AP521" s="44"/>
      <c r="AQ521" s="44"/>
      <c r="AR521" s="44"/>
      <c r="AS521" s="44"/>
      <c r="AZ521" s="3"/>
    </row>
    <row r="522" ht="12.75" customHeight="1">
      <c r="A522" s="3"/>
      <c r="F522" s="3"/>
      <c r="J522" s="4"/>
      <c r="X522" s="6"/>
      <c r="AA522" s="7"/>
      <c r="AC522" s="3"/>
      <c r="AD522" s="3"/>
      <c r="AE522" s="3"/>
      <c r="AF522" s="3"/>
      <c r="AG522" s="44"/>
      <c r="AH522" s="44"/>
      <c r="AI522" s="44"/>
      <c r="AJ522" s="44"/>
      <c r="AL522" s="3"/>
      <c r="AN522" s="3"/>
      <c r="AO522" s="3"/>
      <c r="AP522" s="44"/>
      <c r="AQ522" s="44"/>
      <c r="AR522" s="44"/>
      <c r="AS522" s="44"/>
      <c r="AZ522" s="3"/>
    </row>
    <row r="523" ht="12.75" customHeight="1">
      <c r="A523" s="3"/>
      <c r="F523" s="3"/>
      <c r="J523" s="4"/>
      <c r="X523" s="6"/>
      <c r="AA523" s="7"/>
      <c r="AC523" s="3"/>
      <c r="AD523" s="3"/>
      <c r="AE523" s="3"/>
      <c r="AF523" s="3"/>
      <c r="AG523" s="44"/>
      <c r="AH523" s="44"/>
      <c r="AI523" s="44"/>
      <c r="AJ523" s="44"/>
      <c r="AL523" s="3"/>
      <c r="AN523" s="3"/>
      <c r="AO523" s="3"/>
      <c r="AP523" s="44"/>
      <c r="AQ523" s="44"/>
      <c r="AR523" s="44"/>
      <c r="AS523" s="44"/>
      <c r="AZ523" s="3"/>
    </row>
    <row r="524" ht="12.75" customHeight="1">
      <c r="A524" s="3"/>
      <c r="F524" s="3"/>
      <c r="J524" s="4"/>
      <c r="X524" s="6"/>
      <c r="AA524" s="7"/>
      <c r="AC524" s="3"/>
      <c r="AD524" s="3"/>
      <c r="AE524" s="3"/>
      <c r="AF524" s="3"/>
      <c r="AG524" s="44"/>
      <c r="AH524" s="44"/>
      <c r="AI524" s="44"/>
      <c r="AJ524" s="44"/>
      <c r="AL524" s="3"/>
      <c r="AN524" s="3"/>
      <c r="AO524" s="3"/>
      <c r="AP524" s="44"/>
      <c r="AQ524" s="44"/>
      <c r="AR524" s="44"/>
      <c r="AS524" s="44"/>
      <c r="AZ524" s="3"/>
    </row>
    <row r="525" ht="12.75" customHeight="1">
      <c r="A525" s="3"/>
      <c r="F525" s="3"/>
      <c r="J525" s="4"/>
      <c r="X525" s="6"/>
      <c r="AA525" s="7"/>
      <c r="AC525" s="3"/>
      <c r="AD525" s="3"/>
      <c r="AE525" s="3"/>
      <c r="AF525" s="3"/>
      <c r="AG525" s="44"/>
      <c r="AH525" s="44"/>
      <c r="AI525" s="44"/>
      <c r="AJ525" s="44"/>
      <c r="AL525" s="3"/>
      <c r="AN525" s="3"/>
      <c r="AO525" s="3"/>
      <c r="AP525" s="44"/>
      <c r="AQ525" s="44"/>
      <c r="AR525" s="44"/>
      <c r="AS525" s="44"/>
      <c r="AZ525" s="3"/>
    </row>
    <row r="526" ht="12.75" customHeight="1">
      <c r="A526" s="3"/>
      <c r="F526" s="3"/>
      <c r="J526" s="4"/>
      <c r="X526" s="6"/>
      <c r="AA526" s="7"/>
      <c r="AC526" s="3"/>
      <c r="AD526" s="3"/>
      <c r="AE526" s="3"/>
      <c r="AF526" s="3"/>
      <c r="AG526" s="44"/>
      <c r="AH526" s="44"/>
      <c r="AI526" s="44"/>
      <c r="AJ526" s="44"/>
      <c r="AL526" s="3"/>
      <c r="AN526" s="3"/>
      <c r="AO526" s="3"/>
      <c r="AP526" s="44"/>
      <c r="AQ526" s="44"/>
      <c r="AR526" s="44"/>
      <c r="AS526" s="44"/>
      <c r="AZ526" s="3"/>
    </row>
    <row r="527" ht="12.75" customHeight="1">
      <c r="A527" s="3"/>
      <c r="F527" s="3"/>
      <c r="J527" s="4"/>
      <c r="X527" s="6"/>
      <c r="AA527" s="7"/>
      <c r="AC527" s="3"/>
      <c r="AD527" s="3"/>
      <c r="AE527" s="3"/>
      <c r="AF527" s="3"/>
      <c r="AG527" s="44"/>
      <c r="AH527" s="44"/>
      <c r="AI527" s="44"/>
      <c r="AJ527" s="44"/>
      <c r="AL527" s="3"/>
      <c r="AN527" s="3"/>
      <c r="AO527" s="3"/>
      <c r="AP527" s="44"/>
      <c r="AQ527" s="44"/>
      <c r="AR527" s="44"/>
      <c r="AS527" s="44"/>
      <c r="AZ527" s="3"/>
    </row>
    <row r="528" ht="12.75" customHeight="1">
      <c r="A528" s="3"/>
      <c r="F528" s="3"/>
      <c r="J528" s="4"/>
      <c r="X528" s="6"/>
      <c r="AA528" s="7"/>
      <c r="AC528" s="3"/>
      <c r="AD528" s="3"/>
      <c r="AE528" s="3"/>
      <c r="AF528" s="3"/>
      <c r="AG528" s="44"/>
      <c r="AH528" s="44"/>
      <c r="AI528" s="44"/>
      <c r="AJ528" s="44"/>
      <c r="AL528" s="3"/>
      <c r="AN528" s="3"/>
      <c r="AO528" s="3"/>
      <c r="AP528" s="44"/>
      <c r="AQ528" s="44"/>
      <c r="AR528" s="44"/>
      <c r="AS528" s="44"/>
      <c r="AZ528" s="3"/>
    </row>
    <row r="529" ht="12.75" customHeight="1">
      <c r="A529" s="3"/>
      <c r="F529" s="3"/>
      <c r="J529" s="4"/>
      <c r="X529" s="6"/>
      <c r="AA529" s="7"/>
      <c r="AC529" s="3"/>
      <c r="AD529" s="3"/>
      <c r="AE529" s="3"/>
      <c r="AF529" s="3"/>
      <c r="AG529" s="44"/>
      <c r="AH529" s="44"/>
      <c r="AI529" s="44"/>
      <c r="AJ529" s="44"/>
      <c r="AL529" s="3"/>
      <c r="AN529" s="3"/>
      <c r="AO529" s="3"/>
      <c r="AP529" s="44"/>
      <c r="AQ529" s="44"/>
      <c r="AR529" s="44"/>
      <c r="AS529" s="44"/>
      <c r="AZ529" s="3"/>
    </row>
    <row r="530" ht="12.75" customHeight="1">
      <c r="A530" s="3"/>
      <c r="F530" s="3"/>
      <c r="J530" s="4"/>
      <c r="X530" s="6"/>
      <c r="AA530" s="7"/>
      <c r="AC530" s="3"/>
      <c r="AD530" s="3"/>
      <c r="AE530" s="3"/>
      <c r="AF530" s="3"/>
      <c r="AG530" s="44"/>
      <c r="AH530" s="44"/>
      <c r="AI530" s="44"/>
      <c r="AJ530" s="44"/>
      <c r="AL530" s="3"/>
      <c r="AN530" s="3"/>
      <c r="AO530" s="3"/>
      <c r="AP530" s="44"/>
      <c r="AQ530" s="44"/>
      <c r="AR530" s="44"/>
      <c r="AS530" s="44"/>
      <c r="AZ530" s="3"/>
    </row>
    <row r="531" ht="12.75" customHeight="1">
      <c r="A531" s="3"/>
      <c r="F531" s="3"/>
      <c r="J531" s="4"/>
      <c r="X531" s="6"/>
      <c r="AA531" s="7"/>
      <c r="AC531" s="3"/>
      <c r="AD531" s="3"/>
      <c r="AE531" s="3"/>
      <c r="AF531" s="3"/>
      <c r="AG531" s="44"/>
      <c r="AH531" s="44"/>
      <c r="AI531" s="44"/>
      <c r="AJ531" s="44"/>
      <c r="AL531" s="3"/>
      <c r="AN531" s="3"/>
      <c r="AO531" s="3"/>
      <c r="AP531" s="44"/>
      <c r="AQ531" s="44"/>
      <c r="AR531" s="44"/>
      <c r="AS531" s="44"/>
      <c r="AZ531" s="3"/>
    </row>
    <row r="532" ht="12.75" customHeight="1">
      <c r="A532" s="3"/>
      <c r="F532" s="3"/>
      <c r="J532" s="4"/>
      <c r="X532" s="6"/>
      <c r="AA532" s="7"/>
      <c r="AC532" s="3"/>
      <c r="AD532" s="3"/>
      <c r="AE532" s="3"/>
      <c r="AF532" s="3"/>
      <c r="AG532" s="44"/>
      <c r="AH532" s="44"/>
      <c r="AI532" s="44"/>
      <c r="AJ532" s="44"/>
      <c r="AL532" s="3"/>
      <c r="AN532" s="3"/>
      <c r="AO532" s="3"/>
      <c r="AP532" s="44"/>
      <c r="AQ532" s="44"/>
      <c r="AR532" s="44"/>
      <c r="AS532" s="44"/>
      <c r="AZ532" s="3"/>
    </row>
    <row r="533" ht="12.75" customHeight="1">
      <c r="A533" s="3"/>
      <c r="F533" s="3"/>
      <c r="J533" s="4"/>
      <c r="X533" s="6"/>
      <c r="AA533" s="7"/>
      <c r="AC533" s="3"/>
      <c r="AD533" s="3"/>
      <c r="AE533" s="3"/>
      <c r="AF533" s="3"/>
      <c r="AG533" s="44"/>
      <c r="AH533" s="44"/>
      <c r="AI533" s="44"/>
      <c r="AJ533" s="44"/>
      <c r="AL533" s="3"/>
      <c r="AN533" s="3"/>
      <c r="AO533" s="3"/>
      <c r="AP533" s="44"/>
      <c r="AQ533" s="44"/>
      <c r="AR533" s="44"/>
      <c r="AS533" s="44"/>
      <c r="AZ533" s="3"/>
    </row>
    <row r="534" ht="12.75" customHeight="1">
      <c r="A534" s="3"/>
      <c r="F534" s="3"/>
      <c r="J534" s="4"/>
      <c r="X534" s="6"/>
      <c r="AA534" s="7"/>
      <c r="AC534" s="3"/>
      <c r="AD534" s="3"/>
      <c r="AE534" s="3"/>
      <c r="AF534" s="3"/>
      <c r="AG534" s="44"/>
      <c r="AH534" s="44"/>
      <c r="AI534" s="44"/>
      <c r="AJ534" s="44"/>
      <c r="AL534" s="3"/>
      <c r="AN534" s="3"/>
      <c r="AO534" s="3"/>
      <c r="AP534" s="44"/>
      <c r="AQ534" s="44"/>
      <c r="AR534" s="44"/>
      <c r="AS534" s="44"/>
      <c r="AZ534" s="3"/>
    </row>
    <row r="535" ht="12.75" customHeight="1">
      <c r="A535" s="3"/>
      <c r="F535" s="3"/>
      <c r="J535" s="4"/>
      <c r="X535" s="6"/>
      <c r="AA535" s="7"/>
      <c r="AC535" s="3"/>
      <c r="AD535" s="3"/>
      <c r="AE535" s="3"/>
      <c r="AF535" s="3"/>
      <c r="AG535" s="44"/>
      <c r="AH535" s="44"/>
      <c r="AI535" s="44"/>
      <c r="AJ535" s="44"/>
      <c r="AL535" s="3"/>
      <c r="AN535" s="3"/>
      <c r="AO535" s="3"/>
      <c r="AP535" s="44"/>
      <c r="AQ535" s="44"/>
      <c r="AR535" s="44"/>
      <c r="AS535" s="44"/>
      <c r="AZ535" s="3"/>
    </row>
    <row r="536" ht="12.75" customHeight="1">
      <c r="A536" s="3"/>
      <c r="F536" s="3"/>
      <c r="J536" s="4"/>
      <c r="X536" s="6"/>
      <c r="AA536" s="7"/>
      <c r="AC536" s="3"/>
      <c r="AD536" s="3"/>
      <c r="AE536" s="3"/>
      <c r="AF536" s="3"/>
      <c r="AG536" s="44"/>
      <c r="AH536" s="44"/>
      <c r="AI536" s="44"/>
      <c r="AJ536" s="44"/>
      <c r="AL536" s="3"/>
      <c r="AN536" s="3"/>
      <c r="AO536" s="3"/>
      <c r="AP536" s="44"/>
      <c r="AQ536" s="44"/>
      <c r="AR536" s="44"/>
      <c r="AS536" s="44"/>
      <c r="AZ536" s="3"/>
    </row>
    <row r="537" ht="12.75" customHeight="1">
      <c r="A537" s="3"/>
      <c r="F537" s="3"/>
      <c r="J537" s="4"/>
      <c r="X537" s="6"/>
      <c r="AA537" s="7"/>
      <c r="AC537" s="3"/>
      <c r="AD537" s="3"/>
      <c r="AE537" s="3"/>
      <c r="AF537" s="3"/>
      <c r="AG537" s="44"/>
      <c r="AH537" s="44"/>
      <c r="AI537" s="44"/>
      <c r="AJ537" s="44"/>
      <c r="AL537" s="3"/>
      <c r="AN537" s="3"/>
      <c r="AO537" s="3"/>
      <c r="AP537" s="44"/>
      <c r="AQ537" s="44"/>
      <c r="AR537" s="44"/>
      <c r="AS537" s="44"/>
      <c r="AZ537" s="3"/>
    </row>
    <row r="538" ht="12.75" customHeight="1">
      <c r="A538" s="3"/>
      <c r="F538" s="3"/>
      <c r="J538" s="4"/>
      <c r="X538" s="6"/>
      <c r="AA538" s="7"/>
      <c r="AC538" s="3"/>
      <c r="AD538" s="3"/>
      <c r="AE538" s="3"/>
      <c r="AF538" s="3"/>
      <c r="AG538" s="44"/>
      <c r="AH538" s="44"/>
      <c r="AI538" s="44"/>
      <c r="AJ538" s="44"/>
      <c r="AL538" s="3"/>
      <c r="AN538" s="3"/>
      <c r="AO538" s="3"/>
      <c r="AP538" s="44"/>
      <c r="AQ538" s="44"/>
      <c r="AR538" s="44"/>
      <c r="AS538" s="44"/>
      <c r="AZ538" s="3"/>
    </row>
    <row r="539" ht="12.75" customHeight="1">
      <c r="A539" s="3"/>
      <c r="F539" s="3"/>
      <c r="J539" s="4"/>
      <c r="X539" s="6"/>
      <c r="AA539" s="7"/>
      <c r="AC539" s="3"/>
      <c r="AD539" s="3"/>
      <c r="AE539" s="3"/>
      <c r="AF539" s="3"/>
      <c r="AG539" s="44"/>
      <c r="AH539" s="44"/>
      <c r="AI539" s="44"/>
      <c r="AJ539" s="44"/>
      <c r="AL539" s="3"/>
      <c r="AN539" s="3"/>
      <c r="AO539" s="3"/>
      <c r="AP539" s="44"/>
      <c r="AQ539" s="44"/>
      <c r="AR539" s="44"/>
      <c r="AS539" s="44"/>
      <c r="AZ539" s="3"/>
    </row>
    <row r="540" ht="12.75" customHeight="1">
      <c r="A540" s="3"/>
      <c r="F540" s="3"/>
      <c r="J540" s="4"/>
      <c r="X540" s="6"/>
      <c r="AA540" s="7"/>
      <c r="AC540" s="3"/>
      <c r="AD540" s="3"/>
      <c r="AE540" s="3"/>
      <c r="AF540" s="3"/>
      <c r="AG540" s="44"/>
      <c r="AH540" s="44"/>
      <c r="AI540" s="44"/>
      <c r="AJ540" s="44"/>
      <c r="AL540" s="3"/>
      <c r="AN540" s="3"/>
      <c r="AO540" s="3"/>
      <c r="AP540" s="44"/>
      <c r="AQ540" s="44"/>
      <c r="AR540" s="44"/>
      <c r="AS540" s="44"/>
      <c r="AZ540" s="3"/>
    </row>
    <row r="541" ht="12.75" customHeight="1">
      <c r="A541" s="3"/>
      <c r="F541" s="3"/>
      <c r="J541" s="4"/>
      <c r="X541" s="6"/>
      <c r="AA541" s="7"/>
      <c r="AC541" s="3"/>
      <c r="AD541" s="3"/>
      <c r="AE541" s="3"/>
      <c r="AF541" s="3"/>
      <c r="AG541" s="44"/>
      <c r="AH541" s="44"/>
      <c r="AI541" s="44"/>
      <c r="AJ541" s="44"/>
      <c r="AL541" s="3"/>
      <c r="AN541" s="3"/>
      <c r="AO541" s="3"/>
      <c r="AP541" s="44"/>
      <c r="AQ541" s="44"/>
      <c r="AR541" s="44"/>
      <c r="AS541" s="44"/>
      <c r="AZ541" s="3"/>
    </row>
    <row r="542" ht="12.75" customHeight="1">
      <c r="A542" s="3"/>
      <c r="F542" s="3"/>
      <c r="J542" s="4"/>
      <c r="X542" s="6"/>
      <c r="AA542" s="7"/>
      <c r="AC542" s="3"/>
      <c r="AD542" s="3"/>
      <c r="AE542" s="3"/>
      <c r="AF542" s="3"/>
      <c r="AG542" s="44"/>
      <c r="AH542" s="44"/>
      <c r="AI542" s="44"/>
      <c r="AJ542" s="44"/>
      <c r="AL542" s="3"/>
      <c r="AN542" s="3"/>
      <c r="AO542" s="3"/>
      <c r="AP542" s="44"/>
      <c r="AQ542" s="44"/>
      <c r="AR542" s="44"/>
      <c r="AS542" s="44"/>
      <c r="AZ542" s="3"/>
    </row>
    <row r="543" ht="12.75" customHeight="1">
      <c r="A543" s="3"/>
      <c r="F543" s="3"/>
      <c r="J543" s="4"/>
      <c r="X543" s="6"/>
      <c r="AA543" s="7"/>
      <c r="AC543" s="3"/>
      <c r="AD543" s="3"/>
      <c r="AE543" s="3"/>
      <c r="AF543" s="3"/>
      <c r="AG543" s="44"/>
      <c r="AH543" s="44"/>
      <c r="AI543" s="44"/>
      <c r="AJ543" s="44"/>
      <c r="AL543" s="3"/>
      <c r="AN543" s="3"/>
      <c r="AO543" s="3"/>
      <c r="AP543" s="44"/>
      <c r="AQ543" s="44"/>
      <c r="AR543" s="44"/>
      <c r="AS543" s="44"/>
      <c r="AZ543" s="3"/>
    </row>
    <row r="544" ht="12.75" customHeight="1">
      <c r="A544" s="3"/>
      <c r="F544" s="3"/>
      <c r="J544" s="4"/>
      <c r="X544" s="6"/>
      <c r="AA544" s="7"/>
      <c r="AC544" s="3"/>
      <c r="AD544" s="3"/>
      <c r="AE544" s="3"/>
      <c r="AF544" s="3"/>
      <c r="AG544" s="44"/>
      <c r="AH544" s="44"/>
      <c r="AI544" s="44"/>
      <c r="AJ544" s="44"/>
      <c r="AL544" s="3"/>
      <c r="AN544" s="3"/>
      <c r="AO544" s="3"/>
      <c r="AP544" s="44"/>
      <c r="AQ544" s="44"/>
      <c r="AR544" s="44"/>
      <c r="AS544" s="44"/>
      <c r="AZ544" s="3"/>
    </row>
    <row r="545" ht="12.75" customHeight="1">
      <c r="A545" s="3"/>
      <c r="F545" s="3"/>
      <c r="J545" s="4"/>
      <c r="X545" s="6"/>
      <c r="AA545" s="7"/>
      <c r="AC545" s="3"/>
      <c r="AD545" s="3"/>
      <c r="AE545" s="3"/>
      <c r="AF545" s="3"/>
      <c r="AG545" s="44"/>
      <c r="AH545" s="44"/>
      <c r="AI545" s="44"/>
      <c r="AJ545" s="44"/>
      <c r="AL545" s="3"/>
      <c r="AN545" s="3"/>
      <c r="AO545" s="3"/>
      <c r="AP545" s="44"/>
      <c r="AQ545" s="44"/>
      <c r="AR545" s="44"/>
      <c r="AS545" s="44"/>
      <c r="AZ545" s="3"/>
    </row>
    <row r="546" ht="12.75" customHeight="1">
      <c r="A546" s="3"/>
      <c r="F546" s="3"/>
      <c r="J546" s="4"/>
      <c r="X546" s="6"/>
      <c r="AA546" s="7"/>
      <c r="AC546" s="3"/>
      <c r="AD546" s="3"/>
      <c r="AE546" s="3"/>
      <c r="AF546" s="3"/>
      <c r="AG546" s="44"/>
      <c r="AH546" s="44"/>
      <c r="AI546" s="44"/>
      <c r="AJ546" s="44"/>
      <c r="AL546" s="3"/>
      <c r="AN546" s="3"/>
      <c r="AO546" s="3"/>
      <c r="AP546" s="44"/>
      <c r="AQ546" s="44"/>
      <c r="AR546" s="44"/>
      <c r="AS546" s="44"/>
      <c r="AZ546" s="3"/>
    </row>
    <row r="547" ht="12.75" customHeight="1">
      <c r="A547" s="3"/>
      <c r="F547" s="3"/>
      <c r="J547" s="4"/>
      <c r="X547" s="6"/>
      <c r="AA547" s="7"/>
      <c r="AC547" s="3"/>
      <c r="AD547" s="3"/>
      <c r="AE547" s="3"/>
      <c r="AF547" s="3"/>
      <c r="AG547" s="44"/>
      <c r="AH547" s="44"/>
      <c r="AI547" s="44"/>
      <c r="AJ547" s="44"/>
      <c r="AL547" s="3"/>
      <c r="AN547" s="3"/>
      <c r="AO547" s="3"/>
      <c r="AP547" s="44"/>
      <c r="AQ547" s="44"/>
      <c r="AR547" s="44"/>
      <c r="AS547" s="44"/>
      <c r="AZ547" s="3"/>
    </row>
    <row r="548" ht="12.75" customHeight="1">
      <c r="A548" s="3"/>
      <c r="F548" s="3"/>
      <c r="J548" s="4"/>
      <c r="X548" s="6"/>
      <c r="AA548" s="7"/>
      <c r="AC548" s="3"/>
      <c r="AD548" s="3"/>
      <c r="AE548" s="3"/>
      <c r="AF548" s="3"/>
      <c r="AG548" s="44"/>
      <c r="AH548" s="44"/>
      <c r="AI548" s="44"/>
      <c r="AJ548" s="44"/>
      <c r="AL548" s="3"/>
      <c r="AN548" s="3"/>
      <c r="AO548" s="3"/>
      <c r="AP548" s="44"/>
      <c r="AQ548" s="44"/>
      <c r="AR548" s="44"/>
      <c r="AS548" s="44"/>
      <c r="AZ548" s="3"/>
    </row>
    <row r="549" ht="12.75" customHeight="1">
      <c r="A549" s="3"/>
      <c r="F549" s="3"/>
      <c r="J549" s="4"/>
      <c r="X549" s="6"/>
      <c r="AA549" s="7"/>
      <c r="AC549" s="3"/>
      <c r="AD549" s="3"/>
      <c r="AE549" s="3"/>
      <c r="AF549" s="3"/>
      <c r="AG549" s="44"/>
      <c r="AH549" s="44"/>
      <c r="AI549" s="44"/>
      <c r="AJ549" s="44"/>
      <c r="AL549" s="3"/>
      <c r="AN549" s="3"/>
      <c r="AO549" s="3"/>
      <c r="AP549" s="44"/>
      <c r="AQ549" s="44"/>
      <c r="AR549" s="44"/>
      <c r="AS549" s="44"/>
      <c r="AZ549" s="3"/>
    </row>
    <row r="550" ht="12.75" customHeight="1">
      <c r="A550" s="3"/>
      <c r="F550" s="3"/>
      <c r="J550" s="4"/>
      <c r="X550" s="6"/>
      <c r="AA550" s="7"/>
      <c r="AC550" s="3"/>
      <c r="AD550" s="3"/>
      <c r="AE550" s="3"/>
      <c r="AF550" s="3"/>
      <c r="AG550" s="44"/>
      <c r="AH550" s="44"/>
      <c r="AI550" s="44"/>
      <c r="AJ550" s="44"/>
      <c r="AL550" s="3"/>
      <c r="AN550" s="3"/>
      <c r="AO550" s="3"/>
      <c r="AP550" s="44"/>
      <c r="AQ550" s="44"/>
      <c r="AR550" s="44"/>
      <c r="AS550" s="44"/>
      <c r="AZ550" s="3"/>
    </row>
    <row r="551" ht="12.75" customHeight="1">
      <c r="A551" s="3"/>
      <c r="F551" s="3"/>
      <c r="J551" s="4"/>
      <c r="X551" s="6"/>
      <c r="AA551" s="7"/>
      <c r="AC551" s="3"/>
      <c r="AD551" s="3"/>
      <c r="AE551" s="3"/>
      <c r="AF551" s="3"/>
      <c r="AG551" s="44"/>
      <c r="AH551" s="44"/>
      <c r="AI551" s="44"/>
      <c r="AJ551" s="44"/>
      <c r="AL551" s="3"/>
      <c r="AN551" s="3"/>
      <c r="AO551" s="3"/>
      <c r="AP551" s="44"/>
      <c r="AQ551" s="44"/>
      <c r="AR551" s="44"/>
      <c r="AS551" s="44"/>
      <c r="AZ551" s="3"/>
    </row>
    <row r="552" ht="12.75" customHeight="1">
      <c r="A552" s="3"/>
      <c r="F552" s="3"/>
      <c r="J552" s="4"/>
      <c r="X552" s="6"/>
      <c r="AA552" s="7"/>
      <c r="AC552" s="3"/>
      <c r="AD552" s="3"/>
      <c r="AE552" s="3"/>
      <c r="AF552" s="3"/>
      <c r="AG552" s="44"/>
      <c r="AH552" s="44"/>
      <c r="AI552" s="44"/>
      <c r="AJ552" s="44"/>
      <c r="AL552" s="3"/>
      <c r="AN552" s="3"/>
      <c r="AO552" s="3"/>
      <c r="AP552" s="44"/>
      <c r="AQ552" s="44"/>
      <c r="AR552" s="44"/>
      <c r="AS552" s="44"/>
      <c r="AZ552" s="3"/>
    </row>
    <row r="553" ht="12.75" customHeight="1">
      <c r="A553" s="3"/>
      <c r="F553" s="3"/>
      <c r="J553" s="4"/>
      <c r="X553" s="6"/>
      <c r="AA553" s="7"/>
      <c r="AC553" s="3"/>
      <c r="AD553" s="3"/>
      <c r="AE553" s="3"/>
      <c r="AF553" s="3"/>
      <c r="AG553" s="44"/>
      <c r="AH553" s="44"/>
      <c r="AI553" s="44"/>
      <c r="AJ553" s="44"/>
      <c r="AL553" s="3"/>
      <c r="AN553" s="3"/>
      <c r="AO553" s="3"/>
      <c r="AP553" s="44"/>
      <c r="AQ553" s="44"/>
      <c r="AR553" s="44"/>
      <c r="AS553" s="44"/>
      <c r="AZ553" s="3"/>
    </row>
    <row r="554" ht="12.75" customHeight="1">
      <c r="A554" s="3"/>
      <c r="F554" s="3"/>
      <c r="J554" s="4"/>
      <c r="X554" s="6"/>
      <c r="AA554" s="7"/>
      <c r="AC554" s="3"/>
      <c r="AD554" s="3"/>
      <c r="AE554" s="3"/>
      <c r="AF554" s="3"/>
      <c r="AG554" s="44"/>
      <c r="AH554" s="44"/>
      <c r="AI554" s="44"/>
      <c r="AJ554" s="44"/>
      <c r="AL554" s="3"/>
      <c r="AN554" s="3"/>
      <c r="AO554" s="3"/>
      <c r="AP554" s="44"/>
      <c r="AQ554" s="44"/>
      <c r="AR554" s="44"/>
      <c r="AS554" s="44"/>
      <c r="AZ554" s="3"/>
    </row>
    <row r="555" ht="12.75" customHeight="1">
      <c r="A555" s="3"/>
      <c r="F555" s="3"/>
      <c r="J555" s="4"/>
      <c r="X555" s="6"/>
      <c r="AA555" s="7"/>
      <c r="AC555" s="3"/>
      <c r="AD555" s="3"/>
      <c r="AE555" s="3"/>
      <c r="AF555" s="3"/>
      <c r="AG555" s="44"/>
      <c r="AH555" s="44"/>
      <c r="AI555" s="44"/>
      <c r="AJ555" s="44"/>
      <c r="AL555" s="3"/>
      <c r="AN555" s="3"/>
      <c r="AO555" s="3"/>
      <c r="AP555" s="44"/>
      <c r="AQ555" s="44"/>
      <c r="AR555" s="44"/>
      <c r="AS555" s="44"/>
      <c r="AZ555" s="3"/>
    </row>
    <row r="556" ht="12.75" customHeight="1">
      <c r="A556" s="3"/>
      <c r="F556" s="3"/>
      <c r="J556" s="4"/>
      <c r="X556" s="6"/>
      <c r="AA556" s="7"/>
      <c r="AC556" s="3"/>
      <c r="AD556" s="3"/>
      <c r="AE556" s="3"/>
      <c r="AF556" s="3"/>
      <c r="AG556" s="44"/>
      <c r="AH556" s="44"/>
      <c r="AI556" s="44"/>
      <c r="AJ556" s="44"/>
      <c r="AL556" s="3"/>
      <c r="AN556" s="3"/>
      <c r="AO556" s="3"/>
      <c r="AP556" s="44"/>
      <c r="AQ556" s="44"/>
      <c r="AR556" s="44"/>
      <c r="AS556" s="44"/>
      <c r="AZ556" s="3"/>
    </row>
    <row r="557" ht="12.75" customHeight="1">
      <c r="A557" s="3"/>
      <c r="F557" s="3"/>
      <c r="J557" s="4"/>
      <c r="X557" s="6"/>
      <c r="AA557" s="7"/>
      <c r="AC557" s="3"/>
      <c r="AD557" s="3"/>
      <c r="AE557" s="3"/>
      <c r="AF557" s="3"/>
      <c r="AG557" s="44"/>
      <c r="AH557" s="44"/>
      <c r="AI557" s="44"/>
      <c r="AJ557" s="44"/>
      <c r="AL557" s="3"/>
      <c r="AN557" s="3"/>
      <c r="AO557" s="3"/>
      <c r="AP557" s="44"/>
      <c r="AQ557" s="44"/>
      <c r="AR557" s="44"/>
      <c r="AS557" s="44"/>
      <c r="AZ557" s="3"/>
    </row>
    <row r="558" ht="12.75" customHeight="1">
      <c r="A558" s="3"/>
      <c r="F558" s="3"/>
      <c r="J558" s="4"/>
      <c r="X558" s="6"/>
      <c r="AA558" s="7"/>
      <c r="AC558" s="3"/>
      <c r="AD558" s="3"/>
      <c r="AE558" s="3"/>
      <c r="AF558" s="3"/>
      <c r="AG558" s="44"/>
      <c r="AH558" s="44"/>
      <c r="AI558" s="44"/>
      <c r="AJ558" s="44"/>
      <c r="AL558" s="3"/>
      <c r="AN558" s="3"/>
      <c r="AO558" s="3"/>
      <c r="AP558" s="44"/>
      <c r="AQ558" s="44"/>
      <c r="AR558" s="44"/>
      <c r="AS558" s="44"/>
      <c r="AZ558" s="3"/>
    </row>
    <row r="559" ht="12.75" customHeight="1">
      <c r="A559" s="3"/>
      <c r="F559" s="3"/>
      <c r="J559" s="4"/>
      <c r="X559" s="6"/>
      <c r="AA559" s="7"/>
      <c r="AC559" s="3"/>
      <c r="AD559" s="3"/>
      <c r="AE559" s="3"/>
      <c r="AF559" s="3"/>
      <c r="AG559" s="44"/>
      <c r="AH559" s="44"/>
      <c r="AI559" s="44"/>
      <c r="AJ559" s="44"/>
      <c r="AL559" s="3"/>
      <c r="AN559" s="3"/>
      <c r="AO559" s="3"/>
      <c r="AP559" s="44"/>
      <c r="AQ559" s="44"/>
      <c r="AR559" s="44"/>
      <c r="AS559" s="44"/>
      <c r="AZ559" s="3"/>
    </row>
    <row r="560" ht="12.75" customHeight="1">
      <c r="A560" s="3"/>
      <c r="F560" s="3"/>
      <c r="J560" s="4"/>
      <c r="X560" s="6"/>
      <c r="AA560" s="7"/>
      <c r="AC560" s="3"/>
      <c r="AD560" s="3"/>
      <c r="AE560" s="3"/>
      <c r="AF560" s="3"/>
      <c r="AG560" s="44"/>
      <c r="AH560" s="44"/>
      <c r="AI560" s="44"/>
      <c r="AJ560" s="44"/>
      <c r="AL560" s="3"/>
      <c r="AN560" s="3"/>
      <c r="AO560" s="3"/>
      <c r="AP560" s="44"/>
      <c r="AQ560" s="44"/>
      <c r="AR560" s="44"/>
      <c r="AS560" s="44"/>
      <c r="AZ560" s="3"/>
    </row>
    <row r="561" ht="12.75" customHeight="1">
      <c r="A561" s="3"/>
      <c r="F561" s="3"/>
      <c r="J561" s="4"/>
      <c r="X561" s="6"/>
      <c r="AA561" s="7"/>
      <c r="AC561" s="3"/>
      <c r="AD561" s="3"/>
      <c r="AE561" s="3"/>
      <c r="AF561" s="3"/>
      <c r="AG561" s="44"/>
      <c r="AH561" s="44"/>
      <c r="AI561" s="44"/>
      <c r="AJ561" s="44"/>
      <c r="AL561" s="3"/>
      <c r="AN561" s="3"/>
      <c r="AO561" s="3"/>
      <c r="AP561" s="44"/>
      <c r="AQ561" s="44"/>
      <c r="AR561" s="44"/>
      <c r="AS561" s="44"/>
      <c r="AZ561" s="3"/>
    </row>
    <row r="562" ht="12.75" customHeight="1">
      <c r="A562" s="3"/>
      <c r="F562" s="3"/>
      <c r="J562" s="4"/>
      <c r="X562" s="6"/>
      <c r="AA562" s="7"/>
      <c r="AC562" s="3"/>
      <c r="AD562" s="3"/>
      <c r="AE562" s="3"/>
      <c r="AF562" s="3"/>
      <c r="AG562" s="44"/>
      <c r="AH562" s="44"/>
      <c r="AI562" s="44"/>
      <c r="AJ562" s="44"/>
      <c r="AL562" s="3"/>
      <c r="AN562" s="3"/>
      <c r="AO562" s="3"/>
      <c r="AP562" s="44"/>
      <c r="AQ562" s="44"/>
      <c r="AR562" s="44"/>
      <c r="AS562" s="44"/>
      <c r="AZ562" s="3"/>
    </row>
    <row r="563" ht="12.75" customHeight="1">
      <c r="A563" s="3"/>
      <c r="F563" s="3"/>
      <c r="J563" s="4"/>
      <c r="X563" s="6"/>
      <c r="AA563" s="7"/>
      <c r="AC563" s="3"/>
      <c r="AD563" s="3"/>
      <c r="AE563" s="3"/>
      <c r="AF563" s="3"/>
      <c r="AG563" s="44"/>
      <c r="AH563" s="44"/>
      <c r="AI563" s="44"/>
      <c r="AJ563" s="44"/>
      <c r="AL563" s="3"/>
      <c r="AN563" s="3"/>
      <c r="AO563" s="3"/>
      <c r="AP563" s="44"/>
      <c r="AQ563" s="44"/>
      <c r="AR563" s="44"/>
      <c r="AS563" s="44"/>
      <c r="AZ563" s="3"/>
    </row>
    <row r="564" ht="12.75" customHeight="1">
      <c r="A564" s="3"/>
      <c r="F564" s="3"/>
      <c r="J564" s="4"/>
      <c r="X564" s="6"/>
      <c r="AA564" s="7"/>
      <c r="AC564" s="3"/>
      <c r="AD564" s="3"/>
      <c r="AE564" s="3"/>
      <c r="AF564" s="3"/>
      <c r="AG564" s="44"/>
      <c r="AH564" s="44"/>
      <c r="AI564" s="44"/>
      <c r="AJ564" s="44"/>
      <c r="AL564" s="3"/>
      <c r="AN564" s="3"/>
      <c r="AO564" s="3"/>
      <c r="AP564" s="44"/>
      <c r="AQ564" s="44"/>
      <c r="AR564" s="44"/>
      <c r="AS564" s="44"/>
      <c r="AZ564" s="3"/>
    </row>
    <row r="565" ht="12.75" customHeight="1">
      <c r="A565" s="3"/>
      <c r="F565" s="3"/>
      <c r="J565" s="4"/>
      <c r="X565" s="6"/>
      <c r="AA565" s="7"/>
      <c r="AC565" s="3"/>
      <c r="AD565" s="3"/>
      <c r="AE565" s="3"/>
      <c r="AF565" s="3"/>
      <c r="AG565" s="44"/>
      <c r="AH565" s="44"/>
      <c r="AI565" s="44"/>
      <c r="AJ565" s="44"/>
      <c r="AL565" s="3"/>
      <c r="AN565" s="3"/>
      <c r="AO565" s="3"/>
      <c r="AP565" s="44"/>
      <c r="AQ565" s="44"/>
      <c r="AR565" s="44"/>
      <c r="AS565" s="44"/>
      <c r="AZ565" s="3"/>
    </row>
    <row r="566" ht="12.75" customHeight="1">
      <c r="A566" s="3"/>
      <c r="F566" s="3"/>
      <c r="J566" s="4"/>
      <c r="X566" s="6"/>
      <c r="AA566" s="7"/>
      <c r="AC566" s="3"/>
      <c r="AD566" s="3"/>
      <c r="AE566" s="3"/>
      <c r="AF566" s="3"/>
      <c r="AG566" s="44"/>
      <c r="AH566" s="44"/>
      <c r="AI566" s="44"/>
      <c r="AJ566" s="44"/>
      <c r="AL566" s="3"/>
      <c r="AN566" s="3"/>
      <c r="AO566" s="3"/>
      <c r="AP566" s="44"/>
      <c r="AQ566" s="44"/>
      <c r="AR566" s="44"/>
      <c r="AS566" s="44"/>
      <c r="AZ566" s="3"/>
    </row>
    <row r="567" ht="12.75" customHeight="1">
      <c r="A567" s="3"/>
      <c r="F567" s="3"/>
      <c r="J567" s="4"/>
      <c r="X567" s="6"/>
      <c r="AA567" s="7"/>
      <c r="AC567" s="3"/>
      <c r="AD567" s="3"/>
      <c r="AE567" s="3"/>
      <c r="AF567" s="3"/>
      <c r="AG567" s="44"/>
      <c r="AH567" s="44"/>
      <c r="AI567" s="44"/>
      <c r="AJ567" s="44"/>
      <c r="AL567" s="3"/>
      <c r="AN567" s="3"/>
      <c r="AO567" s="3"/>
      <c r="AP567" s="44"/>
      <c r="AQ567" s="44"/>
      <c r="AR567" s="44"/>
      <c r="AS567" s="44"/>
      <c r="AZ567" s="3"/>
    </row>
    <row r="568" ht="12.75" customHeight="1">
      <c r="A568" s="3"/>
      <c r="F568" s="3"/>
      <c r="J568" s="4"/>
      <c r="X568" s="6"/>
      <c r="AA568" s="7"/>
      <c r="AC568" s="3"/>
      <c r="AD568" s="3"/>
      <c r="AE568" s="3"/>
      <c r="AF568" s="3"/>
      <c r="AG568" s="44"/>
      <c r="AH568" s="44"/>
      <c r="AI568" s="44"/>
      <c r="AJ568" s="44"/>
      <c r="AL568" s="3"/>
      <c r="AN568" s="3"/>
      <c r="AO568" s="3"/>
      <c r="AP568" s="44"/>
      <c r="AQ568" s="44"/>
      <c r="AR568" s="44"/>
      <c r="AS568" s="44"/>
      <c r="AZ568" s="3"/>
    </row>
    <row r="569" ht="12.75" customHeight="1">
      <c r="A569" s="3"/>
      <c r="F569" s="3"/>
      <c r="J569" s="4"/>
      <c r="X569" s="6"/>
      <c r="AA569" s="7"/>
      <c r="AC569" s="3"/>
      <c r="AD569" s="3"/>
      <c r="AE569" s="3"/>
      <c r="AF569" s="3"/>
      <c r="AG569" s="44"/>
      <c r="AH569" s="44"/>
      <c r="AI569" s="44"/>
      <c r="AJ569" s="44"/>
      <c r="AL569" s="3"/>
      <c r="AN569" s="3"/>
      <c r="AO569" s="3"/>
      <c r="AP569" s="44"/>
      <c r="AQ569" s="44"/>
      <c r="AR569" s="44"/>
      <c r="AS569" s="44"/>
      <c r="AZ569" s="3"/>
    </row>
    <row r="570" ht="12.75" customHeight="1">
      <c r="A570" s="3"/>
      <c r="F570" s="3"/>
      <c r="J570" s="4"/>
      <c r="X570" s="6"/>
      <c r="AA570" s="7"/>
      <c r="AC570" s="3"/>
      <c r="AD570" s="3"/>
      <c r="AE570" s="3"/>
      <c r="AF570" s="3"/>
      <c r="AG570" s="44"/>
      <c r="AH570" s="44"/>
      <c r="AI570" s="44"/>
      <c r="AJ570" s="44"/>
      <c r="AL570" s="3"/>
      <c r="AN570" s="3"/>
      <c r="AO570" s="3"/>
      <c r="AP570" s="44"/>
      <c r="AQ570" s="44"/>
      <c r="AR570" s="44"/>
      <c r="AS570" s="44"/>
      <c r="AZ570" s="3"/>
    </row>
    <row r="571" ht="12.75" customHeight="1">
      <c r="A571" s="3"/>
      <c r="F571" s="3"/>
      <c r="J571" s="4"/>
      <c r="X571" s="6"/>
      <c r="AA571" s="7"/>
      <c r="AC571" s="3"/>
      <c r="AD571" s="3"/>
      <c r="AE571" s="3"/>
      <c r="AF571" s="3"/>
      <c r="AG571" s="44"/>
      <c r="AH571" s="44"/>
      <c r="AI571" s="44"/>
      <c r="AJ571" s="44"/>
      <c r="AL571" s="3"/>
      <c r="AN571" s="3"/>
      <c r="AO571" s="3"/>
      <c r="AP571" s="44"/>
      <c r="AQ571" s="44"/>
      <c r="AR571" s="44"/>
      <c r="AS571" s="44"/>
      <c r="AZ571" s="3"/>
    </row>
    <row r="572" ht="12.75" customHeight="1">
      <c r="A572" s="3"/>
      <c r="F572" s="3"/>
      <c r="J572" s="4"/>
      <c r="X572" s="6"/>
      <c r="AA572" s="7"/>
      <c r="AC572" s="3"/>
      <c r="AD572" s="3"/>
      <c r="AE572" s="3"/>
      <c r="AF572" s="3"/>
      <c r="AG572" s="44"/>
      <c r="AH572" s="44"/>
      <c r="AI572" s="44"/>
      <c r="AJ572" s="44"/>
      <c r="AL572" s="3"/>
      <c r="AN572" s="3"/>
      <c r="AO572" s="3"/>
      <c r="AP572" s="44"/>
      <c r="AQ572" s="44"/>
      <c r="AR572" s="44"/>
      <c r="AS572" s="44"/>
      <c r="AZ572" s="3"/>
    </row>
    <row r="573" ht="12.75" customHeight="1">
      <c r="A573" s="3"/>
      <c r="F573" s="3"/>
      <c r="J573" s="4"/>
      <c r="X573" s="6"/>
      <c r="AA573" s="7"/>
      <c r="AC573" s="3"/>
      <c r="AD573" s="3"/>
      <c r="AE573" s="3"/>
      <c r="AF573" s="3"/>
      <c r="AG573" s="44"/>
      <c r="AH573" s="44"/>
      <c r="AI573" s="44"/>
      <c r="AJ573" s="44"/>
      <c r="AL573" s="3"/>
      <c r="AN573" s="3"/>
      <c r="AO573" s="3"/>
      <c r="AP573" s="44"/>
      <c r="AQ573" s="44"/>
      <c r="AR573" s="44"/>
      <c r="AS573" s="44"/>
      <c r="AZ573" s="3"/>
    </row>
    <row r="574" ht="12.75" customHeight="1">
      <c r="A574" s="3"/>
      <c r="F574" s="3"/>
      <c r="J574" s="4"/>
      <c r="X574" s="6"/>
      <c r="AA574" s="7"/>
      <c r="AC574" s="3"/>
      <c r="AD574" s="3"/>
      <c r="AE574" s="3"/>
      <c r="AF574" s="3"/>
      <c r="AG574" s="44"/>
      <c r="AH574" s="44"/>
      <c r="AI574" s="44"/>
      <c r="AJ574" s="44"/>
      <c r="AL574" s="3"/>
      <c r="AN574" s="3"/>
      <c r="AO574" s="3"/>
      <c r="AP574" s="44"/>
      <c r="AQ574" s="44"/>
      <c r="AR574" s="44"/>
      <c r="AS574" s="44"/>
      <c r="AZ574" s="3"/>
    </row>
    <row r="575" ht="12.75" customHeight="1">
      <c r="A575" s="3"/>
      <c r="F575" s="3"/>
      <c r="J575" s="4"/>
      <c r="X575" s="6"/>
      <c r="AA575" s="7"/>
      <c r="AC575" s="3"/>
      <c r="AD575" s="3"/>
      <c r="AE575" s="3"/>
      <c r="AF575" s="3"/>
      <c r="AG575" s="44"/>
      <c r="AH575" s="44"/>
      <c r="AI575" s="44"/>
      <c r="AJ575" s="44"/>
      <c r="AL575" s="3"/>
      <c r="AN575" s="3"/>
      <c r="AO575" s="3"/>
      <c r="AP575" s="44"/>
      <c r="AQ575" s="44"/>
      <c r="AR575" s="44"/>
      <c r="AS575" s="44"/>
      <c r="AZ575" s="3"/>
    </row>
    <row r="576" ht="12.75" customHeight="1">
      <c r="A576" s="3"/>
      <c r="F576" s="3"/>
      <c r="J576" s="4"/>
      <c r="X576" s="6"/>
      <c r="AA576" s="7"/>
      <c r="AC576" s="3"/>
      <c r="AD576" s="3"/>
      <c r="AE576" s="3"/>
      <c r="AF576" s="3"/>
      <c r="AG576" s="44"/>
      <c r="AH576" s="44"/>
      <c r="AI576" s="44"/>
      <c r="AJ576" s="44"/>
      <c r="AL576" s="3"/>
      <c r="AN576" s="3"/>
      <c r="AO576" s="3"/>
      <c r="AP576" s="44"/>
      <c r="AQ576" s="44"/>
      <c r="AR576" s="44"/>
      <c r="AS576" s="44"/>
      <c r="AZ576" s="3"/>
    </row>
    <row r="577" ht="12.75" customHeight="1">
      <c r="A577" s="3"/>
      <c r="F577" s="3"/>
      <c r="J577" s="4"/>
      <c r="X577" s="6"/>
      <c r="AA577" s="7"/>
      <c r="AC577" s="3"/>
      <c r="AD577" s="3"/>
      <c r="AE577" s="3"/>
      <c r="AF577" s="3"/>
      <c r="AG577" s="44"/>
      <c r="AH577" s="44"/>
      <c r="AI577" s="44"/>
      <c r="AJ577" s="44"/>
      <c r="AL577" s="3"/>
      <c r="AN577" s="3"/>
      <c r="AO577" s="3"/>
      <c r="AP577" s="44"/>
      <c r="AQ577" s="44"/>
      <c r="AR577" s="44"/>
      <c r="AS577" s="44"/>
      <c r="AZ577" s="3"/>
    </row>
    <row r="578" ht="12.75" customHeight="1">
      <c r="A578" s="3"/>
      <c r="F578" s="3"/>
      <c r="J578" s="4"/>
      <c r="X578" s="6"/>
      <c r="AA578" s="7"/>
      <c r="AC578" s="3"/>
      <c r="AD578" s="3"/>
      <c r="AE578" s="3"/>
      <c r="AF578" s="3"/>
      <c r="AG578" s="44"/>
      <c r="AH578" s="44"/>
      <c r="AI578" s="44"/>
      <c r="AJ578" s="44"/>
      <c r="AL578" s="3"/>
      <c r="AN578" s="3"/>
      <c r="AO578" s="3"/>
      <c r="AP578" s="44"/>
      <c r="AQ578" s="44"/>
      <c r="AR578" s="44"/>
      <c r="AS578" s="44"/>
      <c r="AZ578" s="3"/>
    </row>
    <row r="579" ht="12.75" customHeight="1">
      <c r="A579" s="3"/>
      <c r="F579" s="3"/>
      <c r="J579" s="4"/>
      <c r="X579" s="6"/>
      <c r="AA579" s="7"/>
      <c r="AC579" s="3"/>
      <c r="AD579" s="3"/>
      <c r="AE579" s="3"/>
      <c r="AF579" s="3"/>
      <c r="AG579" s="44"/>
      <c r="AH579" s="44"/>
      <c r="AI579" s="44"/>
      <c r="AJ579" s="44"/>
      <c r="AL579" s="3"/>
      <c r="AN579" s="3"/>
      <c r="AO579" s="3"/>
      <c r="AP579" s="44"/>
      <c r="AQ579" s="44"/>
      <c r="AR579" s="44"/>
      <c r="AS579" s="44"/>
      <c r="AZ579" s="3"/>
    </row>
    <row r="580" ht="12.75" customHeight="1">
      <c r="A580" s="3"/>
      <c r="F580" s="3"/>
      <c r="J580" s="4"/>
      <c r="X580" s="6"/>
      <c r="AA580" s="7"/>
      <c r="AC580" s="3"/>
      <c r="AD580" s="3"/>
      <c r="AE580" s="3"/>
      <c r="AF580" s="3"/>
      <c r="AG580" s="44"/>
      <c r="AH580" s="44"/>
      <c r="AI580" s="44"/>
      <c r="AJ580" s="44"/>
      <c r="AL580" s="3"/>
      <c r="AN580" s="3"/>
      <c r="AO580" s="3"/>
      <c r="AP580" s="44"/>
      <c r="AQ580" s="44"/>
      <c r="AR580" s="44"/>
      <c r="AS580" s="44"/>
      <c r="AZ580" s="3"/>
    </row>
    <row r="581" ht="12.75" customHeight="1">
      <c r="A581" s="3"/>
      <c r="F581" s="3"/>
      <c r="J581" s="4"/>
      <c r="X581" s="6"/>
      <c r="AA581" s="7"/>
      <c r="AC581" s="3"/>
      <c r="AD581" s="3"/>
      <c r="AE581" s="3"/>
      <c r="AF581" s="3"/>
      <c r="AG581" s="44"/>
      <c r="AH581" s="44"/>
      <c r="AI581" s="44"/>
      <c r="AJ581" s="44"/>
      <c r="AL581" s="3"/>
      <c r="AN581" s="3"/>
      <c r="AO581" s="3"/>
      <c r="AP581" s="44"/>
      <c r="AQ581" s="44"/>
      <c r="AR581" s="44"/>
      <c r="AS581" s="44"/>
      <c r="AZ581" s="3"/>
    </row>
    <row r="582" ht="12.75" customHeight="1">
      <c r="A582" s="3"/>
      <c r="F582" s="3"/>
      <c r="J582" s="4"/>
      <c r="X582" s="6"/>
      <c r="AA582" s="7"/>
      <c r="AC582" s="3"/>
      <c r="AD582" s="3"/>
      <c r="AE582" s="3"/>
      <c r="AF582" s="3"/>
      <c r="AG582" s="44"/>
      <c r="AH582" s="44"/>
      <c r="AI582" s="44"/>
      <c r="AJ582" s="44"/>
      <c r="AL582" s="3"/>
      <c r="AN582" s="3"/>
      <c r="AO582" s="3"/>
      <c r="AP582" s="44"/>
      <c r="AQ582" s="44"/>
      <c r="AR582" s="44"/>
      <c r="AS582" s="44"/>
      <c r="AZ582" s="3"/>
    </row>
    <row r="583" ht="12.75" customHeight="1">
      <c r="A583" s="3"/>
      <c r="F583" s="3"/>
      <c r="J583" s="4"/>
      <c r="X583" s="6"/>
      <c r="AA583" s="7"/>
      <c r="AC583" s="3"/>
      <c r="AD583" s="3"/>
      <c r="AE583" s="3"/>
      <c r="AF583" s="3"/>
      <c r="AG583" s="44"/>
      <c r="AH583" s="44"/>
      <c r="AI583" s="44"/>
      <c r="AJ583" s="44"/>
      <c r="AL583" s="3"/>
      <c r="AN583" s="3"/>
      <c r="AO583" s="3"/>
      <c r="AP583" s="44"/>
      <c r="AQ583" s="44"/>
      <c r="AR583" s="44"/>
      <c r="AS583" s="44"/>
      <c r="AZ583" s="3"/>
    </row>
    <row r="584" ht="12.75" customHeight="1">
      <c r="A584" s="3"/>
      <c r="F584" s="3"/>
      <c r="J584" s="4"/>
      <c r="X584" s="6"/>
      <c r="AA584" s="7"/>
      <c r="AC584" s="3"/>
      <c r="AD584" s="3"/>
      <c r="AE584" s="3"/>
      <c r="AF584" s="3"/>
      <c r="AG584" s="44"/>
      <c r="AH584" s="44"/>
      <c r="AI584" s="44"/>
      <c r="AJ584" s="44"/>
      <c r="AL584" s="3"/>
      <c r="AN584" s="3"/>
      <c r="AO584" s="3"/>
      <c r="AP584" s="44"/>
      <c r="AQ584" s="44"/>
      <c r="AR584" s="44"/>
      <c r="AS584" s="44"/>
      <c r="AZ584" s="3"/>
    </row>
    <row r="585" ht="12.75" customHeight="1">
      <c r="A585" s="3"/>
      <c r="F585" s="3"/>
      <c r="J585" s="4"/>
      <c r="X585" s="6"/>
      <c r="AA585" s="7"/>
      <c r="AC585" s="3"/>
      <c r="AD585" s="3"/>
      <c r="AE585" s="3"/>
      <c r="AF585" s="3"/>
      <c r="AG585" s="44"/>
      <c r="AH585" s="44"/>
      <c r="AI585" s="44"/>
      <c r="AJ585" s="44"/>
      <c r="AL585" s="3"/>
      <c r="AN585" s="3"/>
      <c r="AO585" s="3"/>
      <c r="AP585" s="44"/>
      <c r="AQ585" s="44"/>
      <c r="AR585" s="44"/>
      <c r="AS585" s="44"/>
      <c r="AZ585" s="3"/>
    </row>
    <row r="586" ht="12.75" customHeight="1">
      <c r="A586" s="3"/>
      <c r="F586" s="3"/>
      <c r="J586" s="4"/>
      <c r="X586" s="6"/>
      <c r="AA586" s="7"/>
      <c r="AC586" s="3"/>
      <c r="AD586" s="3"/>
      <c r="AE586" s="3"/>
      <c r="AF586" s="3"/>
      <c r="AG586" s="44"/>
      <c r="AH586" s="44"/>
      <c r="AI586" s="44"/>
      <c r="AJ586" s="44"/>
      <c r="AL586" s="3"/>
      <c r="AN586" s="3"/>
      <c r="AO586" s="3"/>
      <c r="AP586" s="44"/>
      <c r="AQ586" s="44"/>
      <c r="AR586" s="44"/>
      <c r="AS586" s="44"/>
      <c r="AZ586" s="3"/>
    </row>
    <row r="587" ht="12.75" customHeight="1">
      <c r="A587" s="3"/>
      <c r="F587" s="3"/>
      <c r="J587" s="4"/>
      <c r="X587" s="6"/>
      <c r="AA587" s="7"/>
      <c r="AC587" s="3"/>
      <c r="AD587" s="3"/>
      <c r="AE587" s="3"/>
      <c r="AF587" s="3"/>
      <c r="AG587" s="44"/>
      <c r="AH587" s="44"/>
      <c r="AI587" s="44"/>
      <c r="AJ587" s="44"/>
      <c r="AL587" s="3"/>
      <c r="AN587" s="3"/>
      <c r="AO587" s="3"/>
      <c r="AP587" s="44"/>
      <c r="AQ587" s="44"/>
      <c r="AR587" s="44"/>
      <c r="AS587" s="44"/>
      <c r="AZ587" s="3"/>
    </row>
    <row r="588" ht="12.75" customHeight="1">
      <c r="A588" s="3"/>
      <c r="F588" s="3"/>
      <c r="J588" s="4"/>
      <c r="X588" s="6"/>
      <c r="AA588" s="7"/>
      <c r="AC588" s="3"/>
      <c r="AD588" s="3"/>
      <c r="AE588" s="3"/>
      <c r="AF588" s="3"/>
      <c r="AG588" s="44"/>
      <c r="AH588" s="44"/>
      <c r="AI588" s="44"/>
      <c r="AJ588" s="44"/>
      <c r="AL588" s="3"/>
      <c r="AN588" s="3"/>
      <c r="AO588" s="3"/>
      <c r="AP588" s="44"/>
      <c r="AQ588" s="44"/>
      <c r="AR588" s="44"/>
      <c r="AS588" s="44"/>
      <c r="AZ588" s="3"/>
    </row>
    <row r="589" ht="12.75" customHeight="1">
      <c r="A589" s="3"/>
      <c r="F589" s="3"/>
      <c r="J589" s="4"/>
      <c r="X589" s="6"/>
      <c r="AA589" s="7"/>
      <c r="AC589" s="3"/>
      <c r="AD589" s="3"/>
      <c r="AE589" s="3"/>
      <c r="AF589" s="3"/>
      <c r="AG589" s="44"/>
      <c r="AH589" s="44"/>
      <c r="AI589" s="44"/>
      <c r="AJ589" s="44"/>
      <c r="AL589" s="3"/>
      <c r="AN589" s="3"/>
      <c r="AO589" s="3"/>
      <c r="AP589" s="44"/>
      <c r="AQ589" s="44"/>
      <c r="AR589" s="44"/>
      <c r="AS589" s="44"/>
      <c r="AZ589" s="3"/>
    </row>
    <row r="590" ht="12.75" customHeight="1">
      <c r="A590" s="3"/>
      <c r="F590" s="3"/>
      <c r="J590" s="4"/>
      <c r="X590" s="6"/>
      <c r="AA590" s="7"/>
      <c r="AC590" s="3"/>
      <c r="AD590" s="3"/>
      <c r="AE590" s="3"/>
      <c r="AF590" s="3"/>
      <c r="AG590" s="44"/>
      <c r="AH590" s="44"/>
      <c r="AI590" s="44"/>
      <c r="AJ590" s="44"/>
      <c r="AL590" s="3"/>
      <c r="AN590" s="3"/>
      <c r="AO590" s="3"/>
      <c r="AP590" s="44"/>
      <c r="AQ590" s="44"/>
      <c r="AR590" s="44"/>
      <c r="AS590" s="44"/>
      <c r="AZ590" s="3"/>
    </row>
    <row r="591" ht="12.75" customHeight="1">
      <c r="A591" s="3"/>
      <c r="F591" s="3"/>
      <c r="J591" s="4"/>
      <c r="X591" s="6"/>
      <c r="AA591" s="7"/>
      <c r="AC591" s="3"/>
      <c r="AD591" s="3"/>
      <c r="AE591" s="3"/>
      <c r="AF591" s="3"/>
      <c r="AG591" s="44"/>
      <c r="AH591" s="44"/>
      <c r="AI591" s="44"/>
      <c r="AJ591" s="44"/>
      <c r="AL591" s="3"/>
      <c r="AN591" s="3"/>
      <c r="AO591" s="3"/>
      <c r="AP591" s="44"/>
      <c r="AQ591" s="44"/>
      <c r="AR591" s="44"/>
      <c r="AS591" s="44"/>
      <c r="AZ591" s="3"/>
    </row>
    <row r="592" ht="12.75" customHeight="1">
      <c r="A592" s="3"/>
      <c r="F592" s="3"/>
      <c r="J592" s="4"/>
      <c r="X592" s="6"/>
      <c r="AA592" s="7"/>
      <c r="AC592" s="3"/>
      <c r="AD592" s="3"/>
      <c r="AE592" s="3"/>
      <c r="AF592" s="3"/>
      <c r="AG592" s="44"/>
      <c r="AH592" s="44"/>
      <c r="AI592" s="44"/>
      <c r="AJ592" s="44"/>
      <c r="AL592" s="3"/>
      <c r="AN592" s="3"/>
      <c r="AO592" s="3"/>
      <c r="AP592" s="44"/>
      <c r="AQ592" s="44"/>
      <c r="AR592" s="44"/>
      <c r="AS592" s="44"/>
      <c r="AZ592" s="3"/>
    </row>
    <row r="593" ht="12.75" customHeight="1">
      <c r="A593" s="3"/>
      <c r="F593" s="3"/>
      <c r="J593" s="4"/>
      <c r="X593" s="6"/>
      <c r="AA593" s="7"/>
      <c r="AC593" s="3"/>
      <c r="AD593" s="3"/>
      <c r="AE593" s="3"/>
      <c r="AF593" s="3"/>
      <c r="AG593" s="44"/>
      <c r="AH593" s="44"/>
      <c r="AI593" s="44"/>
      <c r="AJ593" s="44"/>
      <c r="AL593" s="3"/>
      <c r="AN593" s="3"/>
      <c r="AO593" s="3"/>
      <c r="AP593" s="44"/>
      <c r="AQ593" s="44"/>
      <c r="AR593" s="44"/>
      <c r="AS593" s="44"/>
      <c r="AZ593" s="3"/>
    </row>
    <row r="594" ht="12.75" customHeight="1">
      <c r="A594" s="3"/>
      <c r="F594" s="3"/>
      <c r="J594" s="4"/>
      <c r="X594" s="6"/>
      <c r="AA594" s="7"/>
      <c r="AC594" s="3"/>
      <c r="AD594" s="3"/>
      <c r="AE594" s="3"/>
      <c r="AF594" s="3"/>
      <c r="AG594" s="44"/>
      <c r="AH594" s="44"/>
      <c r="AI594" s="44"/>
      <c r="AJ594" s="44"/>
      <c r="AL594" s="3"/>
      <c r="AN594" s="3"/>
      <c r="AO594" s="3"/>
      <c r="AP594" s="44"/>
      <c r="AQ594" s="44"/>
      <c r="AR594" s="44"/>
      <c r="AS594" s="44"/>
      <c r="AZ594" s="3"/>
    </row>
    <row r="595" ht="12.75" customHeight="1">
      <c r="A595" s="3"/>
      <c r="F595" s="3"/>
      <c r="J595" s="4"/>
      <c r="X595" s="6"/>
      <c r="AA595" s="7"/>
      <c r="AC595" s="3"/>
      <c r="AD595" s="3"/>
      <c r="AE595" s="3"/>
      <c r="AF595" s="3"/>
      <c r="AG595" s="44"/>
      <c r="AH595" s="44"/>
      <c r="AI595" s="44"/>
      <c r="AJ595" s="44"/>
      <c r="AL595" s="3"/>
      <c r="AN595" s="3"/>
      <c r="AO595" s="3"/>
      <c r="AP595" s="44"/>
      <c r="AQ595" s="44"/>
      <c r="AR595" s="44"/>
      <c r="AS595" s="44"/>
      <c r="AZ595" s="3"/>
    </row>
    <row r="596" ht="12.75" customHeight="1">
      <c r="A596" s="3"/>
      <c r="F596" s="3"/>
      <c r="J596" s="4"/>
      <c r="X596" s="6"/>
      <c r="AA596" s="7"/>
      <c r="AC596" s="3"/>
      <c r="AD596" s="3"/>
      <c r="AE596" s="3"/>
      <c r="AF596" s="3"/>
      <c r="AG596" s="44"/>
      <c r="AH596" s="44"/>
      <c r="AI596" s="44"/>
      <c r="AJ596" s="44"/>
      <c r="AL596" s="3"/>
      <c r="AN596" s="3"/>
      <c r="AO596" s="3"/>
      <c r="AP596" s="44"/>
      <c r="AQ596" s="44"/>
      <c r="AR596" s="44"/>
      <c r="AS596" s="44"/>
      <c r="AZ596" s="3"/>
    </row>
    <row r="597" ht="12.75" customHeight="1">
      <c r="A597" s="3"/>
      <c r="F597" s="3"/>
      <c r="J597" s="4"/>
      <c r="X597" s="6"/>
      <c r="AA597" s="7"/>
      <c r="AC597" s="3"/>
      <c r="AD597" s="3"/>
      <c r="AE597" s="3"/>
      <c r="AF597" s="3"/>
      <c r="AG597" s="44"/>
      <c r="AH597" s="44"/>
      <c r="AI597" s="44"/>
      <c r="AJ597" s="44"/>
      <c r="AL597" s="3"/>
      <c r="AN597" s="3"/>
      <c r="AO597" s="3"/>
      <c r="AP597" s="44"/>
      <c r="AQ597" s="44"/>
      <c r="AR597" s="44"/>
      <c r="AS597" s="44"/>
      <c r="AZ597" s="3"/>
    </row>
    <row r="598" ht="12.75" customHeight="1">
      <c r="A598" s="3"/>
      <c r="F598" s="3"/>
      <c r="J598" s="4"/>
      <c r="X598" s="6"/>
      <c r="AA598" s="7"/>
      <c r="AC598" s="3"/>
      <c r="AD598" s="3"/>
      <c r="AE598" s="3"/>
      <c r="AF598" s="3"/>
      <c r="AG598" s="44"/>
      <c r="AH598" s="44"/>
      <c r="AI598" s="44"/>
      <c r="AJ598" s="44"/>
      <c r="AL598" s="3"/>
      <c r="AN598" s="3"/>
      <c r="AO598" s="3"/>
      <c r="AP598" s="44"/>
      <c r="AQ598" s="44"/>
      <c r="AR598" s="44"/>
      <c r="AS598" s="44"/>
      <c r="AZ598" s="3"/>
    </row>
    <row r="599" ht="12.75" customHeight="1">
      <c r="A599" s="3"/>
      <c r="F599" s="3"/>
      <c r="J599" s="4"/>
      <c r="X599" s="6"/>
      <c r="AA599" s="7"/>
      <c r="AC599" s="3"/>
      <c r="AD599" s="3"/>
      <c r="AE599" s="3"/>
      <c r="AF599" s="3"/>
      <c r="AG599" s="44"/>
      <c r="AH599" s="44"/>
      <c r="AI599" s="44"/>
      <c r="AJ599" s="44"/>
      <c r="AL599" s="3"/>
      <c r="AN599" s="3"/>
      <c r="AO599" s="3"/>
      <c r="AP599" s="44"/>
      <c r="AQ599" s="44"/>
      <c r="AR599" s="44"/>
      <c r="AS599" s="44"/>
      <c r="AZ599" s="3"/>
    </row>
    <row r="600" ht="12.75" customHeight="1">
      <c r="A600" s="3"/>
      <c r="F600" s="3"/>
      <c r="J600" s="4"/>
      <c r="X600" s="6"/>
      <c r="AA600" s="7"/>
      <c r="AC600" s="3"/>
      <c r="AD600" s="3"/>
      <c r="AE600" s="3"/>
      <c r="AF600" s="3"/>
      <c r="AG600" s="44"/>
      <c r="AH600" s="44"/>
      <c r="AI600" s="44"/>
      <c r="AJ600" s="44"/>
      <c r="AL600" s="3"/>
      <c r="AN600" s="3"/>
      <c r="AO600" s="3"/>
      <c r="AP600" s="44"/>
      <c r="AQ600" s="44"/>
      <c r="AR600" s="44"/>
      <c r="AS600" s="44"/>
      <c r="AZ600" s="3"/>
    </row>
    <row r="601" ht="12.75" customHeight="1">
      <c r="A601" s="3"/>
      <c r="F601" s="3"/>
      <c r="J601" s="4"/>
      <c r="X601" s="6"/>
      <c r="AA601" s="7"/>
      <c r="AC601" s="3"/>
      <c r="AD601" s="3"/>
      <c r="AE601" s="3"/>
      <c r="AF601" s="3"/>
      <c r="AG601" s="44"/>
      <c r="AH601" s="44"/>
      <c r="AI601" s="44"/>
      <c r="AJ601" s="44"/>
      <c r="AL601" s="3"/>
      <c r="AN601" s="3"/>
      <c r="AO601" s="3"/>
      <c r="AP601" s="44"/>
      <c r="AQ601" s="44"/>
      <c r="AR601" s="44"/>
      <c r="AS601" s="44"/>
      <c r="AZ601" s="3"/>
    </row>
    <row r="602" ht="12.75" customHeight="1">
      <c r="A602" s="3"/>
      <c r="F602" s="3"/>
      <c r="J602" s="4"/>
      <c r="X602" s="6"/>
      <c r="AA602" s="7"/>
      <c r="AC602" s="3"/>
      <c r="AD602" s="3"/>
      <c r="AE602" s="3"/>
      <c r="AF602" s="3"/>
      <c r="AG602" s="44"/>
      <c r="AH602" s="44"/>
      <c r="AI602" s="44"/>
      <c r="AJ602" s="44"/>
      <c r="AL602" s="3"/>
      <c r="AN602" s="3"/>
      <c r="AO602" s="3"/>
      <c r="AP602" s="44"/>
      <c r="AQ602" s="44"/>
      <c r="AR602" s="44"/>
      <c r="AS602" s="44"/>
      <c r="AZ602" s="3"/>
    </row>
    <row r="603" ht="12.75" customHeight="1">
      <c r="A603" s="3"/>
      <c r="F603" s="3"/>
      <c r="J603" s="4"/>
      <c r="X603" s="6"/>
      <c r="AA603" s="7"/>
      <c r="AC603" s="3"/>
      <c r="AD603" s="3"/>
      <c r="AE603" s="3"/>
      <c r="AF603" s="3"/>
      <c r="AG603" s="44"/>
      <c r="AH603" s="44"/>
      <c r="AI603" s="44"/>
      <c r="AJ603" s="44"/>
      <c r="AL603" s="3"/>
      <c r="AN603" s="3"/>
      <c r="AO603" s="3"/>
      <c r="AP603" s="44"/>
      <c r="AQ603" s="44"/>
      <c r="AR603" s="44"/>
      <c r="AS603" s="44"/>
      <c r="AZ603" s="3"/>
    </row>
    <row r="604" ht="12.75" customHeight="1">
      <c r="A604" s="3"/>
      <c r="F604" s="3"/>
      <c r="J604" s="4"/>
      <c r="X604" s="6"/>
      <c r="AA604" s="7"/>
      <c r="AC604" s="3"/>
      <c r="AD604" s="3"/>
      <c r="AE604" s="3"/>
      <c r="AF604" s="3"/>
      <c r="AG604" s="44"/>
      <c r="AH604" s="44"/>
      <c r="AI604" s="44"/>
      <c r="AJ604" s="44"/>
      <c r="AL604" s="3"/>
      <c r="AN604" s="3"/>
      <c r="AO604" s="3"/>
      <c r="AP604" s="44"/>
      <c r="AQ604" s="44"/>
      <c r="AR604" s="44"/>
      <c r="AS604" s="44"/>
      <c r="AZ604" s="3"/>
    </row>
    <row r="605" ht="12.75" customHeight="1">
      <c r="A605" s="3"/>
      <c r="F605" s="3"/>
      <c r="J605" s="4"/>
      <c r="X605" s="6"/>
      <c r="AA605" s="7"/>
      <c r="AC605" s="3"/>
      <c r="AD605" s="3"/>
      <c r="AE605" s="3"/>
      <c r="AF605" s="3"/>
      <c r="AG605" s="44"/>
      <c r="AH605" s="44"/>
      <c r="AI605" s="44"/>
      <c r="AJ605" s="44"/>
      <c r="AL605" s="3"/>
      <c r="AN605" s="3"/>
      <c r="AO605" s="3"/>
      <c r="AP605" s="44"/>
      <c r="AQ605" s="44"/>
      <c r="AR605" s="44"/>
      <c r="AS605" s="44"/>
      <c r="AZ605" s="3"/>
    </row>
    <row r="606" ht="12.75" customHeight="1">
      <c r="A606" s="3"/>
      <c r="F606" s="3"/>
      <c r="J606" s="4"/>
      <c r="X606" s="6"/>
      <c r="AA606" s="7"/>
      <c r="AC606" s="3"/>
      <c r="AD606" s="3"/>
      <c r="AE606" s="3"/>
      <c r="AF606" s="3"/>
      <c r="AG606" s="44"/>
      <c r="AH606" s="44"/>
      <c r="AI606" s="44"/>
      <c r="AJ606" s="44"/>
      <c r="AL606" s="3"/>
      <c r="AN606" s="3"/>
      <c r="AO606" s="3"/>
      <c r="AP606" s="44"/>
      <c r="AQ606" s="44"/>
      <c r="AR606" s="44"/>
      <c r="AS606" s="44"/>
      <c r="AZ606" s="3"/>
    </row>
    <row r="607" ht="12.75" customHeight="1">
      <c r="A607" s="3"/>
      <c r="F607" s="3"/>
      <c r="J607" s="4"/>
      <c r="X607" s="6"/>
      <c r="AA607" s="7"/>
      <c r="AC607" s="3"/>
      <c r="AD607" s="3"/>
      <c r="AE607" s="3"/>
      <c r="AF607" s="3"/>
      <c r="AG607" s="44"/>
      <c r="AH607" s="44"/>
      <c r="AI607" s="44"/>
      <c r="AJ607" s="44"/>
      <c r="AL607" s="3"/>
      <c r="AN607" s="3"/>
      <c r="AO607" s="3"/>
      <c r="AP607" s="44"/>
      <c r="AQ607" s="44"/>
      <c r="AR607" s="44"/>
      <c r="AS607" s="44"/>
      <c r="AZ607" s="3"/>
    </row>
    <row r="608" ht="12.75" customHeight="1">
      <c r="A608" s="3"/>
      <c r="F608" s="3"/>
      <c r="J608" s="4"/>
      <c r="X608" s="6"/>
      <c r="AA608" s="7"/>
      <c r="AC608" s="3"/>
      <c r="AD608" s="3"/>
      <c r="AE608" s="3"/>
      <c r="AF608" s="3"/>
      <c r="AG608" s="44"/>
      <c r="AH608" s="44"/>
      <c r="AI608" s="44"/>
      <c r="AJ608" s="44"/>
      <c r="AL608" s="3"/>
      <c r="AN608" s="3"/>
      <c r="AO608" s="3"/>
      <c r="AP608" s="44"/>
      <c r="AQ608" s="44"/>
      <c r="AR608" s="44"/>
      <c r="AS608" s="44"/>
      <c r="AZ608" s="3"/>
    </row>
    <row r="609" ht="12.75" customHeight="1">
      <c r="A609" s="3"/>
      <c r="F609" s="3"/>
      <c r="J609" s="4"/>
      <c r="X609" s="6"/>
      <c r="AA609" s="7"/>
      <c r="AC609" s="3"/>
      <c r="AD609" s="3"/>
      <c r="AE609" s="3"/>
      <c r="AF609" s="3"/>
      <c r="AG609" s="44"/>
      <c r="AH609" s="44"/>
      <c r="AI609" s="44"/>
      <c r="AJ609" s="44"/>
      <c r="AL609" s="3"/>
      <c r="AN609" s="3"/>
      <c r="AO609" s="3"/>
      <c r="AP609" s="44"/>
      <c r="AQ609" s="44"/>
      <c r="AR609" s="44"/>
      <c r="AS609" s="44"/>
      <c r="AZ609" s="3"/>
    </row>
    <row r="610" ht="12.75" customHeight="1">
      <c r="A610" s="3"/>
      <c r="F610" s="3"/>
      <c r="J610" s="4"/>
      <c r="X610" s="6"/>
      <c r="AA610" s="7"/>
      <c r="AC610" s="3"/>
      <c r="AD610" s="3"/>
      <c r="AE610" s="3"/>
      <c r="AF610" s="3"/>
      <c r="AG610" s="44"/>
      <c r="AH610" s="44"/>
      <c r="AI610" s="44"/>
      <c r="AJ610" s="44"/>
      <c r="AL610" s="3"/>
      <c r="AN610" s="3"/>
      <c r="AO610" s="3"/>
      <c r="AP610" s="44"/>
      <c r="AQ610" s="44"/>
      <c r="AR610" s="44"/>
      <c r="AS610" s="44"/>
      <c r="AZ610" s="3"/>
    </row>
    <row r="611" ht="12.75" customHeight="1">
      <c r="A611" s="3"/>
      <c r="F611" s="3"/>
      <c r="J611" s="4"/>
      <c r="X611" s="6"/>
      <c r="AA611" s="7"/>
      <c r="AC611" s="3"/>
      <c r="AD611" s="3"/>
      <c r="AE611" s="3"/>
      <c r="AF611" s="3"/>
      <c r="AG611" s="44"/>
      <c r="AH611" s="44"/>
      <c r="AI611" s="44"/>
      <c r="AJ611" s="44"/>
      <c r="AL611" s="3"/>
      <c r="AN611" s="3"/>
      <c r="AO611" s="3"/>
      <c r="AP611" s="44"/>
      <c r="AQ611" s="44"/>
      <c r="AR611" s="44"/>
      <c r="AS611" s="44"/>
      <c r="AZ611" s="3"/>
    </row>
    <row r="612" ht="12.75" customHeight="1">
      <c r="A612" s="3"/>
      <c r="F612" s="3"/>
      <c r="J612" s="4"/>
      <c r="X612" s="6"/>
      <c r="AA612" s="7"/>
      <c r="AC612" s="3"/>
      <c r="AD612" s="3"/>
      <c r="AE612" s="3"/>
      <c r="AF612" s="3"/>
      <c r="AG612" s="44"/>
      <c r="AH612" s="44"/>
      <c r="AI612" s="44"/>
      <c r="AJ612" s="44"/>
      <c r="AL612" s="3"/>
      <c r="AN612" s="3"/>
      <c r="AO612" s="3"/>
      <c r="AP612" s="44"/>
      <c r="AQ612" s="44"/>
      <c r="AR612" s="44"/>
      <c r="AS612" s="44"/>
      <c r="AZ612" s="3"/>
    </row>
    <row r="613" ht="12.75" customHeight="1">
      <c r="A613" s="3"/>
      <c r="F613" s="3"/>
      <c r="J613" s="4"/>
      <c r="X613" s="6"/>
      <c r="AA613" s="7"/>
      <c r="AC613" s="3"/>
      <c r="AD613" s="3"/>
      <c r="AE613" s="3"/>
      <c r="AF613" s="3"/>
      <c r="AG613" s="44"/>
      <c r="AH613" s="44"/>
      <c r="AI613" s="44"/>
      <c r="AJ613" s="44"/>
      <c r="AL613" s="3"/>
      <c r="AN613" s="3"/>
      <c r="AO613" s="3"/>
      <c r="AP613" s="44"/>
      <c r="AQ613" s="44"/>
      <c r="AR613" s="44"/>
      <c r="AS613" s="44"/>
      <c r="AZ613" s="3"/>
    </row>
    <row r="614" ht="12.75" customHeight="1">
      <c r="A614" s="3"/>
      <c r="F614" s="3"/>
      <c r="J614" s="4"/>
      <c r="X614" s="6"/>
      <c r="AA614" s="7"/>
      <c r="AC614" s="3"/>
      <c r="AD614" s="3"/>
      <c r="AE614" s="3"/>
      <c r="AF614" s="3"/>
      <c r="AG614" s="44"/>
      <c r="AH614" s="44"/>
      <c r="AI614" s="44"/>
      <c r="AJ614" s="44"/>
      <c r="AL614" s="3"/>
      <c r="AN614" s="3"/>
      <c r="AO614" s="3"/>
      <c r="AP614" s="44"/>
      <c r="AQ614" s="44"/>
      <c r="AR614" s="44"/>
      <c r="AS614" s="44"/>
      <c r="AZ614" s="3"/>
    </row>
    <row r="615" ht="12.75" customHeight="1">
      <c r="A615" s="3"/>
      <c r="F615" s="3"/>
      <c r="J615" s="4"/>
      <c r="X615" s="6"/>
      <c r="AA615" s="7"/>
      <c r="AC615" s="3"/>
      <c r="AD615" s="3"/>
      <c r="AE615" s="3"/>
      <c r="AF615" s="3"/>
      <c r="AG615" s="44"/>
      <c r="AH615" s="44"/>
      <c r="AI615" s="44"/>
      <c r="AJ615" s="44"/>
      <c r="AL615" s="3"/>
      <c r="AN615" s="3"/>
      <c r="AO615" s="3"/>
      <c r="AP615" s="44"/>
      <c r="AQ615" s="44"/>
      <c r="AR615" s="44"/>
      <c r="AS615" s="44"/>
      <c r="AZ615" s="3"/>
    </row>
    <row r="616" ht="12.75" customHeight="1">
      <c r="A616" s="3"/>
      <c r="F616" s="3"/>
      <c r="J616" s="4"/>
      <c r="X616" s="6"/>
      <c r="AA616" s="7"/>
      <c r="AC616" s="3"/>
      <c r="AD616" s="3"/>
      <c r="AE616" s="3"/>
      <c r="AF616" s="3"/>
      <c r="AG616" s="44"/>
      <c r="AH616" s="44"/>
      <c r="AI616" s="44"/>
      <c r="AJ616" s="44"/>
      <c r="AL616" s="3"/>
      <c r="AN616" s="3"/>
      <c r="AO616" s="3"/>
      <c r="AP616" s="44"/>
      <c r="AQ616" s="44"/>
      <c r="AR616" s="44"/>
      <c r="AS616" s="44"/>
      <c r="AZ616" s="3"/>
    </row>
    <row r="617" ht="12.75" customHeight="1">
      <c r="A617" s="3"/>
      <c r="F617" s="3"/>
      <c r="J617" s="4"/>
      <c r="X617" s="6"/>
      <c r="AA617" s="7"/>
      <c r="AC617" s="3"/>
      <c r="AD617" s="3"/>
      <c r="AE617" s="3"/>
      <c r="AF617" s="3"/>
      <c r="AG617" s="44"/>
      <c r="AH617" s="44"/>
      <c r="AI617" s="44"/>
      <c r="AJ617" s="44"/>
      <c r="AL617" s="3"/>
      <c r="AN617" s="3"/>
      <c r="AO617" s="3"/>
      <c r="AP617" s="44"/>
      <c r="AQ617" s="44"/>
      <c r="AR617" s="44"/>
      <c r="AS617" s="44"/>
      <c r="AZ617" s="3"/>
    </row>
    <row r="618" ht="12.75" customHeight="1">
      <c r="A618" s="3"/>
      <c r="F618" s="3"/>
      <c r="J618" s="4"/>
      <c r="X618" s="6"/>
      <c r="AA618" s="7"/>
      <c r="AC618" s="3"/>
      <c r="AD618" s="3"/>
      <c r="AE618" s="3"/>
      <c r="AF618" s="3"/>
      <c r="AG618" s="44"/>
      <c r="AH618" s="44"/>
      <c r="AI618" s="44"/>
      <c r="AJ618" s="44"/>
      <c r="AL618" s="3"/>
      <c r="AN618" s="3"/>
      <c r="AO618" s="3"/>
      <c r="AP618" s="44"/>
      <c r="AQ618" s="44"/>
      <c r="AR618" s="44"/>
      <c r="AS618" s="44"/>
      <c r="AZ618" s="3"/>
    </row>
    <row r="619" ht="12.75" customHeight="1">
      <c r="A619" s="3"/>
      <c r="F619" s="3"/>
      <c r="J619" s="4"/>
      <c r="X619" s="6"/>
      <c r="AA619" s="7"/>
      <c r="AC619" s="3"/>
      <c r="AD619" s="3"/>
      <c r="AE619" s="3"/>
      <c r="AF619" s="3"/>
      <c r="AG619" s="44"/>
      <c r="AH619" s="44"/>
      <c r="AI619" s="44"/>
      <c r="AJ619" s="44"/>
      <c r="AL619" s="3"/>
      <c r="AN619" s="3"/>
      <c r="AO619" s="3"/>
      <c r="AP619" s="44"/>
      <c r="AQ619" s="44"/>
      <c r="AR619" s="44"/>
      <c r="AS619" s="44"/>
      <c r="AZ619" s="3"/>
    </row>
    <row r="620" ht="12.75" customHeight="1">
      <c r="A620" s="3"/>
      <c r="F620" s="3"/>
      <c r="J620" s="4"/>
      <c r="X620" s="6"/>
      <c r="AA620" s="7"/>
      <c r="AC620" s="3"/>
      <c r="AD620" s="3"/>
      <c r="AE620" s="3"/>
      <c r="AF620" s="3"/>
      <c r="AG620" s="44"/>
      <c r="AH620" s="44"/>
      <c r="AI620" s="44"/>
      <c r="AJ620" s="44"/>
      <c r="AL620" s="3"/>
      <c r="AN620" s="3"/>
      <c r="AO620" s="3"/>
      <c r="AP620" s="44"/>
      <c r="AQ620" s="44"/>
      <c r="AR620" s="44"/>
      <c r="AS620" s="44"/>
      <c r="AZ620" s="3"/>
    </row>
    <row r="621" ht="12.75" customHeight="1">
      <c r="A621" s="3"/>
      <c r="F621" s="3"/>
      <c r="J621" s="4"/>
      <c r="X621" s="6"/>
      <c r="AA621" s="7"/>
      <c r="AC621" s="3"/>
      <c r="AD621" s="3"/>
      <c r="AE621" s="3"/>
      <c r="AF621" s="3"/>
      <c r="AG621" s="44"/>
      <c r="AH621" s="44"/>
      <c r="AI621" s="44"/>
      <c r="AJ621" s="44"/>
      <c r="AL621" s="3"/>
      <c r="AN621" s="3"/>
      <c r="AO621" s="3"/>
      <c r="AP621" s="44"/>
      <c r="AQ621" s="44"/>
      <c r="AR621" s="44"/>
      <c r="AS621" s="44"/>
      <c r="AZ621" s="3"/>
    </row>
    <row r="622" ht="12.75" customHeight="1">
      <c r="A622" s="3"/>
      <c r="F622" s="3"/>
      <c r="J622" s="4"/>
      <c r="X622" s="6"/>
      <c r="AA622" s="7"/>
      <c r="AC622" s="3"/>
      <c r="AD622" s="3"/>
      <c r="AE622" s="3"/>
      <c r="AF622" s="3"/>
      <c r="AG622" s="44"/>
      <c r="AH622" s="44"/>
      <c r="AI622" s="44"/>
      <c r="AJ622" s="44"/>
      <c r="AL622" s="3"/>
      <c r="AN622" s="3"/>
      <c r="AO622" s="3"/>
      <c r="AP622" s="44"/>
      <c r="AQ622" s="44"/>
      <c r="AR622" s="44"/>
      <c r="AS622" s="44"/>
      <c r="AZ622" s="3"/>
    </row>
    <row r="623" ht="12.75" customHeight="1">
      <c r="A623" s="3"/>
      <c r="F623" s="3"/>
      <c r="J623" s="4"/>
      <c r="X623" s="6"/>
      <c r="AA623" s="7"/>
      <c r="AC623" s="3"/>
      <c r="AD623" s="3"/>
      <c r="AE623" s="3"/>
      <c r="AF623" s="3"/>
      <c r="AG623" s="44"/>
      <c r="AH623" s="44"/>
      <c r="AI623" s="44"/>
      <c r="AJ623" s="44"/>
      <c r="AL623" s="3"/>
      <c r="AN623" s="3"/>
      <c r="AO623" s="3"/>
      <c r="AP623" s="44"/>
      <c r="AQ623" s="44"/>
      <c r="AR623" s="44"/>
      <c r="AS623" s="44"/>
      <c r="AZ623" s="3"/>
    </row>
    <row r="624" ht="12.75" customHeight="1">
      <c r="A624" s="3"/>
      <c r="F624" s="3"/>
      <c r="J624" s="4"/>
      <c r="X624" s="6"/>
      <c r="AA624" s="7"/>
      <c r="AC624" s="3"/>
      <c r="AD624" s="3"/>
      <c r="AE624" s="3"/>
      <c r="AF624" s="3"/>
      <c r="AG624" s="44"/>
      <c r="AH624" s="44"/>
      <c r="AI624" s="44"/>
      <c r="AJ624" s="44"/>
      <c r="AL624" s="3"/>
      <c r="AN624" s="3"/>
      <c r="AO624" s="3"/>
      <c r="AP624" s="44"/>
      <c r="AQ624" s="44"/>
      <c r="AR624" s="44"/>
      <c r="AS624" s="44"/>
      <c r="AZ624" s="3"/>
    </row>
    <row r="625" ht="12.75" customHeight="1">
      <c r="A625" s="3"/>
      <c r="F625" s="3"/>
      <c r="J625" s="4"/>
      <c r="X625" s="6"/>
      <c r="AA625" s="7"/>
      <c r="AC625" s="3"/>
      <c r="AD625" s="3"/>
      <c r="AE625" s="3"/>
      <c r="AF625" s="3"/>
      <c r="AG625" s="44"/>
      <c r="AH625" s="44"/>
      <c r="AI625" s="44"/>
      <c r="AJ625" s="44"/>
      <c r="AL625" s="3"/>
      <c r="AN625" s="3"/>
      <c r="AO625" s="3"/>
      <c r="AP625" s="44"/>
      <c r="AQ625" s="44"/>
      <c r="AR625" s="44"/>
      <c r="AS625" s="44"/>
      <c r="AZ625" s="3"/>
    </row>
    <row r="626" ht="12.75" customHeight="1">
      <c r="A626" s="3"/>
      <c r="F626" s="3"/>
      <c r="J626" s="4"/>
      <c r="X626" s="6"/>
      <c r="AA626" s="7"/>
      <c r="AC626" s="3"/>
      <c r="AD626" s="3"/>
      <c r="AE626" s="3"/>
      <c r="AF626" s="3"/>
      <c r="AG626" s="44"/>
      <c r="AH626" s="44"/>
      <c r="AI626" s="44"/>
      <c r="AJ626" s="44"/>
      <c r="AL626" s="3"/>
      <c r="AN626" s="3"/>
      <c r="AO626" s="3"/>
      <c r="AP626" s="44"/>
      <c r="AQ626" s="44"/>
      <c r="AR626" s="44"/>
      <c r="AS626" s="44"/>
      <c r="AZ626" s="3"/>
    </row>
    <row r="627" ht="12.75" customHeight="1">
      <c r="A627" s="3"/>
      <c r="F627" s="3"/>
      <c r="J627" s="4"/>
      <c r="X627" s="6"/>
      <c r="AA627" s="7"/>
      <c r="AC627" s="3"/>
      <c r="AD627" s="3"/>
      <c r="AE627" s="3"/>
      <c r="AF627" s="3"/>
      <c r="AG627" s="44"/>
      <c r="AH627" s="44"/>
      <c r="AI627" s="44"/>
      <c r="AJ627" s="44"/>
      <c r="AL627" s="3"/>
      <c r="AN627" s="3"/>
      <c r="AO627" s="3"/>
      <c r="AP627" s="44"/>
      <c r="AQ627" s="44"/>
      <c r="AR627" s="44"/>
      <c r="AS627" s="44"/>
      <c r="AZ627" s="3"/>
    </row>
    <row r="628" ht="12.75" customHeight="1">
      <c r="A628" s="3"/>
      <c r="F628" s="3"/>
      <c r="J628" s="4"/>
      <c r="X628" s="6"/>
      <c r="AA628" s="7"/>
      <c r="AC628" s="3"/>
      <c r="AD628" s="3"/>
      <c r="AE628" s="3"/>
      <c r="AF628" s="3"/>
      <c r="AG628" s="44"/>
      <c r="AH628" s="44"/>
      <c r="AI628" s="44"/>
      <c r="AJ628" s="44"/>
      <c r="AL628" s="3"/>
      <c r="AN628" s="3"/>
      <c r="AO628" s="3"/>
      <c r="AP628" s="44"/>
      <c r="AQ628" s="44"/>
      <c r="AR628" s="44"/>
      <c r="AS628" s="44"/>
      <c r="AZ628" s="3"/>
    </row>
    <row r="629" ht="12.75" customHeight="1">
      <c r="A629" s="3"/>
      <c r="F629" s="3"/>
      <c r="J629" s="4"/>
      <c r="X629" s="6"/>
      <c r="AA629" s="7"/>
      <c r="AC629" s="3"/>
      <c r="AD629" s="3"/>
      <c r="AE629" s="3"/>
      <c r="AF629" s="3"/>
      <c r="AG629" s="44"/>
      <c r="AH629" s="44"/>
      <c r="AI629" s="44"/>
      <c r="AJ629" s="44"/>
      <c r="AL629" s="3"/>
      <c r="AN629" s="3"/>
      <c r="AO629" s="3"/>
      <c r="AP629" s="44"/>
      <c r="AQ629" s="44"/>
      <c r="AR629" s="44"/>
      <c r="AS629" s="44"/>
      <c r="AZ629" s="3"/>
    </row>
    <row r="630" ht="12.75" customHeight="1">
      <c r="A630" s="3"/>
      <c r="F630" s="3"/>
      <c r="J630" s="4"/>
      <c r="X630" s="6"/>
      <c r="AA630" s="7"/>
      <c r="AC630" s="3"/>
      <c r="AD630" s="3"/>
      <c r="AE630" s="3"/>
      <c r="AF630" s="3"/>
      <c r="AG630" s="44"/>
      <c r="AH630" s="44"/>
      <c r="AI630" s="44"/>
      <c r="AJ630" s="44"/>
      <c r="AL630" s="3"/>
      <c r="AN630" s="3"/>
      <c r="AO630" s="3"/>
      <c r="AP630" s="44"/>
      <c r="AQ630" s="44"/>
      <c r="AR630" s="44"/>
      <c r="AS630" s="44"/>
      <c r="AZ630" s="3"/>
    </row>
    <row r="631" ht="12.75" customHeight="1">
      <c r="A631" s="3"/>
      <c r="F631" s="3"/>
      <c r="J631" s="4"/>
      <c r="X631" s="6"/>
      <c r="AA631" s="7"/>
      <c r="AC631" s="3"/>
      <c r="AD631" s="3"/>
      <c r="AE631" s="3"/>
      <c r="AF631" s="3"/>
      <c r="AG631" s="44"/>
      <c r="AH631" s="44"/>
      <c r="AI631" s="44"/>
      <c r="AJ631" s="44"/>
      <c r="AL631" s="3"/>
      <c r="AN631" s="3"/>
      <c r="AO631" s="3"/>
      <c r="AP631" s="44"/>
      <c r="AQ631" s="44"/>
      <c r="AR631" s="44"/>
      <c r="AS631" s="44"/>
      <c r="AZ631" s="3"/>
    </row>
    <row r="632" ht="12.75" customHeight="1">
      <c r="A632" s="3"/>
      <c r="F632" s="3"/>
      <c r="J632" s="4"/>
      <c r="X632" s="6"/>
      <c r="AA632" s="7"/>
      <c r="AC632" s="3"/>
      <c r="AD632" s="3"/>
      <c r="AE632" s="3"/>
      <c r="AF632" s="3"/>
      <c r="AG632" s="44"/>
      <c r="AH632" s="44"/>
      <c r="AI632" s="44"/>
      <c r="AJ632" s="44"/>
      <c r="AL632" s="3"/>
      <c r="AN632" s="3"/>
      <c r="AO632" s="3"/>
      <c r="AP632" s="44"/>
      <c r="AQ632" s="44"/>
      <c r="AR632" s="44"/>
      <c r="AS632" s="44"/>
      <c r="AZ632" s="3"/>
    </row>
    <row r="633" ht="12.75" customHeight="1">
      <c r="A633" s="3"/>
      <c r="F633" s="3"/>
      <c r="J633" s="4"/>
      <c r="X633" s="6"/>
      <c r="AA633" s="7"/>
      <c r="AC633" s="3"/>
      <c r="AD633" s="3"/>
      <c r="AE633" s="3"/>
      <c r="AF633" s="3"/>
      <c r="AG633" s="44"/>
      <c r="AH633" s="44"/>
      <c r="AI633" s="44"/>
      <c r="AJ633" s="44"/>
      <c r="AL633" s="3"/>
      <c r="AN633" s="3"/>
      <c r="AO633" s="3"/>
      <c r="AP633" s="44"/>
      <c r="AQ633" s="44"/>
      <c r="AR633" s="44"/>
      <c r="AS633" s="44"/>
      <c r="AZ633" s="3"/>
    </row>
    <row r="634" ht="12.75" customHeight="1">
      <c r="A634" s="3"/>
      <c r="F634" s="3"/>
      <c r="J634" s="4"/>
      <c r="X634" s="6"/>
      <c r="AA634" s="7"/>
      <c r="AC634" s="3"/>
      <c r="AD634" s="3"/>
      <c r="AE634" s="3"/>
      <c r="AF634" s="3"/>
      <c r="AG634" s="44"/>
      <c r="AH634" s="44"/>
      <c r="AI634" s="44"/>
      <c r="AJ634" s="44"/>
      <c r="AL634" s="3"/>
      <c r="AN634" s="3"/>
      <c r="AO634" s="3"/>
      <c r="AP634" s="44"/>
      <c r="AQ634" s="44"/>
      <c r="AR634" s="44"/>
      <c r="AS634" s="44"/>
      <c r="AZ634" s="3"/>
    </row>
    <row r="635" ht="12.75" customHeight="1">
      <c r="A635" s="3"/>
      <c r="F635" s="3"/>
      <c r="J635" s="4"/>
      <c r="X635" s="6"/>
      <c r="AA635" s="7"/>
      <c r="AC635" s="3"/>
      <c r="AD635" s="3"/>
      <c r="AE635" s="3"/>
      <c r="AF635" s="3"/>
      <c r="AG635" s="44"/>
      <c r="AH635" s="44"/>
      <c r="AI635" s="44"/>
      <c r="AJ635" s="44"/>
      <c r="AL635" s="3"/>
      <c r="AN635" s="3"/>
      <c r="AO635" s="3"/>
      <c r="AP635" s="44"/>
      <c r="AQ635" s="44"/>
      <c r="AR635" s="44"/>
      <c r="AS635" s="44"/>
      <c r="AZ635" s="3"/>
    </row>
    <row r="636" ht="12.75" customHeight="1">
      <c r="A636" s="3"/>
      <c r="F636" s="3"/>
      <c r="J636" s="4"/>
      <c r="X636" s="6"/>
      <c r="AA636" s="7"/>
      <c r="AC636" s="3"/>
      <c r="AD636" s="3"/>
      <c r="AE636" s="3"/>
      <c r="AF636" s="3"/>
      <c r="AG636" s="44"/>
      <c r="AH636" s="44"/>
      <c r="AI636" s="44"/>
      <c r="AJ636" s="44"/>
      <c r="AL636" s="3"/>
      <c r="AN636" s="3"/>
      <c r="AO636" s="3"/>
      <c r="AP636" s="44"/>
      <c r="AQ636" s="44"/>
      <c r="AR636" s="44"/>
      <c r="AS636" s="44"/>
      <c r="AZ636" s="3"/>
    </row>
    <row r="637" ht="12.75" customHeight="1">
      <c r="A637" s="3"/>
      <c r="F637" s="3"/>
      <c r="J637" s="4"/>
      <c r="X637" s="6"/>
      <c r="AA637" s="7"/>
      <c r="AC637" s="3"/>
      <c r="AD637" s="3"/>
      <c r="AE637" s="3"/>
      <c r="AF637" s="3"/>
      <c r="AG637" s="44"/>
      <c r="AH637" s="44"/>
      <c r="AI637" s="44"/>
      <c r="AJ637" s="44"/>
      <c r="AL637" s="3"/>
      <c r="AN637" s="3"/>
      <c r="AO637" s="3"/>
      <c r="AP637" s="44"/>
      <c r="AQ637" s="44"/>
      <c r="AR637" s="44"/>
      <c r="AS637" s="44"/>
      <c r="AZ637" s="3"/>
    </row>
    <row r="638" ht="12.75" customHeight="1">
      <c r="A638" s="3"/>
      <c r="F638" s="3"/>
      <c r="J638" s="4"/>
      <c r="X638" s="6"/>
      <c r="AA638" s="7"/>
      <c r="AC638" s="3"/>
      <c r="AD638" s="3"/>
      <c r="AE638" s="3"/>
      <c r="AF638" s="3"/>
      <c r="AG638" s="44"/>
      <c r="AH638" s="44"/>
      <c r="AI638" s="44"/>
      <c r="AJ638" s="44"/>
      <c r="AL638" s="3"/>
      <c r="AN638" s="3"/>
      <c r="AO638" s="3"/>
      <c r="AP638" s="44"/>
      <c r="AQ638" s="44"/>
      <c r="AR638" s="44"/>
      <c r="AS638" s="44"/>
      <c r="AZ638" s="3"/>
    </row>
    <row r="639" ht="12.75" customHeight="1">
      <c r="A639" s="3"/>
      <c r="F639" s="3"/>
      <c r="J639" s="4"/>
      <c r="X639" s="6"/>
      <c r="AA639" s="7"/>
      <c r="AC639" s="3"/>
      <c r="AD639" s="3"/>
      <c r="AE639" s="3"/>
      <c r="AF639" s="3"/>
      <c r="AG639" s="44"/>
      <c r="AH639" s="44"/>
      <c r="AI639" s="44"/>
      <c r="AJ639" s="44"/>
      <c r="AL639" s="3"/>
      <c r="AN639" s="3"/>
      <c r="AO639" s="3"/>
      <c r="AP639" s="44"/>
      <c r="AQ639" s="44"/>
      <c r="AR639" s="44"/>
      <c r="AS639" s="44"/>
      <c r="AZ639" s="3"/>
    </row>
    <row r="640" ht="12.75" customHeight="1">
      <c r="A640" s="3"/>
      <c r="F640" s="3"/>
      <c r="J640" s="4"/>
      <c r="X640" s="6"/>
      <c r="AA640" s="7"/>
      <c r="AC640" s="3"/>
      <c r="AD640" s="3"/>
      <c r="AE640" s="3"/>
      <c r="AF640" s="3"/>
      <c r="AG640" s="44"/>
      <c r="AH640" s="44"/>
      <c r="AI640" s="44"/>
      <c r="AJ640" s="44"/>
      <c r="AL640" s="3"/>
      <c r="AN640" s="3"/>
      <c r="AO640" s="3"/>
      <c r="AP640" s="44"/>
      <c r="AQ640" s="44"/>
      <c r="AR640" s="44"/>
      <c r="AS640" s="44"/>
      <c r="AZ640" s="3"/>
    </row>
    <row r="641" ht="12.75" customHeight="1">
      <c r="A641" s="3"/>
      <c r="F641" s="3"/>
      <c r="J641" s="4"/>
      <c r="X641" s="6"/>
      <c r="AA641" s="7"/>
      <c r="AC641" s="3"/>
      <c r="AD641" s="3"/>
      <c r="AE641" s="3"/>
      <c r="AF641" s="3"/>
      <c r="AG641" s="44"/>
      <c r="AH641" s="44"/>
      <c r="AI641" s="44"/>
      <c r="AJ641" s="44"/>
      <c r="AL641" s="3"/>
      <c r="AN641" s="3"/>
      <c r="AO641" s="3"/>
      <c r="AP641" s="44"/>
      <c r="AQ641" s="44"/>
      <c r="AR641" s="44"/>
      <c r="AS641" s="44"/>
      <c r="AZ641" s="3"/>
    </row>
    <row r="642" ht="12.75" customHeight="1">
      <c r="A642" s="3"/>
      <c r="F642" s="3"/>
      <c r="J642" s="4"/>
      <c r="X642" s="6"/>
      <c r="AA642" s="7"/>
      <c r="AC642" s="3"/>
      <c r="AD642" s="3"/>
      <c r="AE642" s="3"/>
      <c r="AF642" s="3"/>
      <c r="AG642" s="44"/>
      <c r="AH642" s="44"/>
      <c r="AI642" s="44"/>
      <c r="AJ642" s="44"/>
      <c r="AL642" s="3"/>
      <c r="AN642" s="3"/>
      <c r="AO642" s="3"/>
      <c r="AP642" s="44"/>
      <c r="AQ642" s="44"/>
      <c r="AR642" s="44"/>
      <c r="AS642" s="44"/>
      <c r="AZ642" s="3"/>
    </row>
    <row r="643" ht="12.75" customHeight="1">
      <c r="A643" s="3"/>
      <c r="F643" s="3"/>
      <c r="J643" s="4"/>
      <c r="X643" s="6"/>
      <c r="AA643" s="7"/>
      <c r="AC643" s="3"/>
      <c r="AD643" s="3"/>
      <c r="AE643" s="3"/>
      <c r="AF643" s="3"/>
      <c r="AG643" s="44"/>
      <c r="AH643" s="44"/>
      <c r="AI643" s="44"/>
      <c r="AJ643" s="44"/>
      <c r="AL643" s="3"/>
      <c r="AN643" s="3"/>
      <c r="AO643" s="3"/>
      <c r="AP643" s="44"/>
      <c r="AQ643" s="44"/>
      <c r="AR643" s="44"/>
      <c r="AS643" s="44"/>
      <c r="AZ643" s="3"/>
    </row>
    <row r="644" ht="12.75" customHeight="1">
      <c r="A644" s="3"/>
      <c r="F644" s="3"/>
      <c r="J644" s="4"/>
      <c r="X644" s="6"/>
      <c r="AA644" s="7"/>
      <c r="AC644" s="3"/>
      <c r="AD644" s="3"/>
      <c r="AE644" s="3"/>
      <c r="AF644" s="3"/>
      <c r="AG644" s="44"/>
      <c r="AH644" s="44"/>
      <c r="AI644" s="44"/>
      <c r="AJ644" s="44"/>
      <c r="AL644" s="3"/>
      <c r="AN644" s="3"/>
      <c r="AO644" s="3"/>
      <c r="AP644" s="44"/>
      <c r="AQ644" s="44"/>
      <c r="AR644" s="44"/>
      <c r="AS644" s="44"/>
      <c r="AZ644" s="3"/>
    </row>
  </sheetData>
  <customSheetViews>
    <customSheetView guid="{AFC984FD-6C16-406A-88DF-95DF34BD9DA4}" filter="1" showAutoFilter="1">
      <autoFilter ref="$B$5:$R$433">
        <filterColumn colId="11">
          <customFilters>
            <customFilter operator="greaterThan" val="5000"/>
          </customFilters>
        </filterColumn>
      </autoFilter>
    </customSheetView>
  </customSheetViews>
  <mergeCells count="2">
    <mergeCell ref="AU5:AX5"/>
    <mergeCell ref="Q435:R435"/>
  </mergeCells>
  <printOptions horizontalCentered="1" verticalCentered="1"/>
  <pageMargins bottom="0.984251968503937" footer="0.0" header="0.0" left="0.1968503937007874" right="0.1968503937007874" top="0.984251968503937"/>
  <pageSetup fitToWidth="0" paperSize="5" orientation="portrait"/>
  <drawing r:id="rId1"/>
</worksheet>
</file>